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in Brown\OneDrive - GLOBAL PORTS HOLDING\IR Folder\2022 - Releases\"/>
    </mc:Choice>
  </mc:AlternateContent>
  <bookViews>
    <workbookView xWindow="28680" yWindow="-120" windowWidth="29040" windowHeight="15990" firstSheet="1" activeTab="2"/>
  </bookViews>
  <sheets>
    <sheet name=" " sheetId="3" r:id="rId1"/>
    <sheet name="Disclaimer" sheetId="13" r:id="rId2"/>
    <sheet name="Notes" sheetId="11" r:id="rId3"/>
    <sheet name="Occupancy_2022" sheetId="24" r:id="rId4"/>
    <sheet name="Traffic&gt;" sheetId="25" r:id="rId5"/>
    <sheet name="Jan-23" sheetId="30" r:id="rId6"/>
    <sheet name="Dec-22" sheetId="29" r:id="rId7"/>
    <sheet name="Nov-22" sheetId="28" r:id="rId8"/>
    <sheet name="Oct-22" sheetId="27" r:id="rId9"/>
    <sheet name="Sep-22" sheetId="26" r:id="rId10"/>
    <sheet name="Aug-22" sheetId="22" r:id="rId11"/>
    <sheet name="Jul-22" sheetId="21" r:id="rId12"/>
    <sheet name="Jun-22" sheetId="20" r:id="rId13"/>
    <sheet name="May-22" sheetId="19" r:id="rId14"/>
    <sheet name="Apr-22" sheetId="18" r:id="rId15"/>
    <sheet name="Mar-22" sheetId="17" r:id="rId16"/>
    <sheet name="Feb-22" sheetId="16" r:id="rId17"/>
    <sheet name="Jan-22" sheetId="15" r:id="rId18"/>
    <sheet name="Dec-21" sheetId="14" r:id="rId19"/>
    <sheet name="Nov-21" sheetId="10" r:id="rId20"/>
    <sheet name="Oct-21" sheetId="9" r:id="rId21"/>
    <sheet name="Sept-21" sheetId="1" r:id="rId22"/>
  </sheets>
  <externalReferences>
    <externalReference r:id="rId2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4" hidden="1">'Apr-22'!$X:$XFD</definedName>
    <definedName name="Z_5F6D01E3_9E6F_4D7F_980F_63899AF95899_.wvu.Cols" localSheetId="10" hidden="1">'Aug-22'!$X:$XFD</definedName>
    <definedName name="Z_5F6D01E3_9E6F_4D7F_980F_63899AF95899_.wvu.Cols" localSheetId="18" hidden="1">'Dec-21'!$S:$XFD</definedName>
    <definedName name="Z_5F6D01E3_9E6F_4D7F_980F_63899AF95899_.wvu.Cols" localSheetId="6" hidden="1">'Dec-22'!$X:$XFD</definedName>
    <definedName name="Z_5F6D01E3_9E6F_4D7F_980F_63899AF95899_.wvu.Cols" localSheetId="1" hidden="1">Disclaimer!$X:$XFD</definedName>
    <definedName name="Z_5F6D01E3_9E6F_4D7F_980F_63899AF95899_.wvu.Cols" localSheetId="16" hidden="1">'Feb-22'!$X:$XFD</definedName>
    <definedName name="Z_5F6D01E3_9E6F_4D7F_980F_63899AF95899_.wvu.Cols" localSheetId="17" hidden="1">'Jan-22'!$X:$XFD</definedName>
    <definedName name="Z_5F6D01E3_9E6F_4D7F_980F_63899AF95899_.wvu.Cols" localSheetId="5" hidden="1">'Jan-23'!$AC:$XFD</definedName>
    <definedName name="Z_5F6D01E3_9E6F_4D7F_980F_63899AF95899_.wvu.Cols" localSheetId="11" hidden="1">'Jul-22'!$X:$XFD</definedName>
    <definedName name="Z_5F6D01E3_9E6F_4D7F_980F_63899AF95899_.wvu.Cols" localSheetId="12" hidden="1">'Jun-22'!$X:$XFD</definedName>
    <definedName name="Z_5F6D01E3_9E6F_4D7F_980F_63899AF95899_.wvu.Cols" localSheetId="15" hidden="1">'Mar-22'!$X:$XFD</definedName>
    <definedName name="Z_5F6D01E3_9E6F_4D7F_980F_63899AF95899_.wvu.Cols" localSheetId="13" hidden="1">'May-22'!$X:$XFD</definedName>
    <definedName name="Z_5F6D01E3_9E6F_4D7F_980F_63899AF95899_.wvu.Cols" localSheetId="2" hidden="1">Notes!$S:$XFD</definedName>
    <definedName name="Z_5F6D01E3_9E6F_4D7F_980F_63899AF95899_.wvu.Cols" localSheetId="19" hidden="1">'Nov-21'!$S:$XFD</definedName>
    <definedName name="Z_5F6D01E3_9E6F_4D7F_980F_63899AF95899_.wvu.Cols" localSheetId="7" hidden="1">'Nov-22'!$X:$XFD</definedName>
    <definedName name="Z_5F6D01E3_9E6F_4D7F_980F_63899AF95899_.wvu.Cols" localSheetId="3" hidden="1">Occupancy_2022!$U:$XFD</definedName>
    <definedName name="Z_5F6D01E3_9E6F_4D7F_980F_63899AF95899_.wvu.Cols" localSheetId="20" hidden="1">'Oct-21'!$S:$XFD</definedName>
    <definedName name="Z_5F6D01E3_9E6F_4D7F_980F_63899AF95899_.wvu.Cols" localSheetId="8" hidden="1">'Oct-22'!$X:$XFD</definedName>
    <definedName name="Z_5F6D01E3_9E6F_4D7F_980F_63899AF95899_.wvu.Cols" localSheetId="9" hidden="1">'Sep-22'!$X:$XFD</definedName>
    <definedName name="Z_5F6D01E3_9E6F_4D7F_980F_63899AF95899_.wvu.Cols" localSheetId="21"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4" hidden="1">'Apr-22'!$49:$1048576,'Apr-22'!$30:$48</definedName>
    <definedName name="Z_5F6D01E3_9E6F_4D7F_980F_63899AF95899_.wvu.Rows" localSheetId="18" hidden="1">'Dec-21'!$49:$1048576,'Dec-21'!$30:$48</definedName>
    <definedName name="Z_5F6D01E3_9E6F_4D7F_980F_63899AF95899_.wvu.Rows" localSheetId="1" hidden="1">Disclaimer!$45:$1048576,Disclaimer!$30:$44</definedName>
    <definedName name="Z_5F6D01E3_9E6F_4D7F_980F_63899AF95899_.wvu.Rows" localSheetId="16" hidden="1">'Feb-22'!$49:$1048576,'Feb-22'!$30:$48</definedName>
    <definedName name="Z_5F6D01E3_9E6F_4D7F_980F_63899AF95899_.wvu.Rows" localSheetId="17" hidden="1">'Jan-22'!$49:$1048576,'Jan-22'!$30:$48</definedName>
    <definedName name="Z_5F6D01E3_9E6F_4D7F_980F_63899AF95899_.wvu.Rows" localSheetId="12" hidden="1">'Jun-22'!$49:$1048576,'Jun-22'!$30:$48</definedName>
    <definedName name="Z_5F6D01E3_9E6F_4D7F_980F_63899AF95899_.wvu.Rows" localSheetId="15" hidden="1">'Mar-22'!$49:$1048576,'Mar-22'!$30:$48</definedName>
    <definedName name="Z_5F6D01E3_9E6F_4D7F_980F_63899AF95899_.wvu.Rows" localSheetId="13" hidden="1">'May-22'!$49:$1048576,'May-22'!$30:$48</definedName>
    <definedName name="Z_5F6D01E3_9E6F_4D7F_980F_63899AF95899_.wvu.Rows" localSheetId="2" hidden="1">Notes!$45:$1048576,Notes!$27:$44</definedName>
    <definedName name="Z_5F6D01E3_9E6F_4D7F_980F_63899AF95899_.wvu.Rows" localSheetId="19" hidden="1">'Nov-21'!$49:$1048576,'Nov-21'!$30:$48</definedName>
    <definedName name="Z_5F6D01E3_9E6F_4D7F_980F_63899AF95899_.wvu.Rows" localSheetId="20" hidden="1">'Oct-21'!$49:$1048576,'Oct-21'!$30:$48</definedName>
    <definedName name="Z_5F6D01E3_9E6F_4D7F_980F_63899AF95899_.wvu.Rows" localSheetId="21"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30" l="1"/>
  <c r="F28" i="30"/>
  <c r="O28" i="30" l="1"/>
  <c r="W53" i="30"/>
  <c r="V53" i="30"/>
  <c r="U53" i="30"/>
  <c r="W52" i="30"/>
  <c r="V52" i="30"/>
  <c r="U52" i="30"/>
  <c r="W50" i="30"/>
  <c r="V50" i="30"/>
  <c r="U50" i="30"/>
  <c r="W49" i="30"/>
  <c r="V49" i="30"/>
  <c r="U49" i="30"/>
  <c r="W47" i="30"/>
  <c r="V47" i="30"/>
  <c r="U47" i="30"/>
  <c r="W46" i="30"/>
  <c r="V46" i="30"/>
  <c r="U46" i="30"/>
  <c r="W44" i="30"/>
  <c r="V44" i="30"/>
  <c r="U44" i="30"/>
  <c r="W43" i="30"/>
  <c r="V43" i="30"/>
  <c r="U43" i="30"/>
  <c r="W41" i="30"/>
  <c r="V41" i="30"/>
  <c r="U41" i="30"/>
  <c r="W40" i="30"/>
  <c r="V40" i="30"/>
  <c r="U40" i="30"/>
  <c r="O29" i="30"/>
  <c r="P56" i="30" s="1"/>
  <c r="U56" i="30" s="1"/>
  <c r="Q40" i="30"/>
  <c r="S29" i="30"/>
  <c r="R29" i="30"/>
  <c r="S56" i="30" s="1"/>
  <c r="Q29" i="30"/>
  <c r="P29" i="30"/>
  <c r="Q56" i="30" s="1"/>
  <c r="S28" i="30"/>
  <c r="R28" i="30"/>
  <c r="Q28" i="30"/>
  <c r="P28" i="30"/>
  <c r="Q55" i="30" s="1"/>
  <c r="S26" i="30"/>
  <c r="R26" i="30"/>
  <c r="S53" i="30" s="1"/>
  <c r="Q26" i="30"/>
  <c r="P26" i="30"/>
  <c r="S25" i="30"/>
  <c r="R25" i="30"/>
  <c r="Q25" i="30"/>
  <c r="P25" i="30"/>
  <c r="Q52" i="30" s="1"/>
  <c r="S23" i="30"/>
  <c r="R23" i="30"/>
  <c r="S50" i="30" s="1"/>
  <c r="Q23" i="30"/>
  <c r="R50" i="30" s="1"/>
  <c r="P23" i="30"/>
  <c r="Q50" i="30" s="1"/>
  <c r="S22" i="30"/>
  <c r="R22" i="30"/>
  <c r="Q22" i="30"/>
  <c r="P22" i="30"/>
  <c r="S20" i="30"/>
  <c r="R20" i="30"/>
  <c r="S47" i="30" s="1"/>
  <c r="Q20" i="30"/>
  <c r="P20" i="30"/>
  <c r="Q47" i="30" s="1"/>
  <c r="S19" i="30"/>
  <c r="R19" i="30"/>
  <c r="Q19" i="30"/>
  <c r="P19" i="30"/>
  <c r="Q46" i="30" s="1"/>
  <c r="S17" i="30"/>
  <c r="R17" i="30"/>
  <c r="Q17" i="30"/>
  <c r="P17" i="30"/>
  <c r="Q44" i="30" s="1"/>
  <c r="S16" i="30"/>
  <c r="R16" i="30"/>
  <c r="Q16" i="30"/>
  <c r="P16" i="30"/>
  <c r="S14" i="30"/>
  <c r="R14" i="30"/>
  <c r="S41" i="30" s="1"/>
  <c r="Q14" i="30"/>
  <c r="P14" i="30"/>
  <c r="Q41" i="30" s="1"/>
  <c r="S13" i="30"/>
  <c r="R13" i="30"/>
  <c r="Q13" i="30"/>
  <c r="P13" i="30"/>
  <c r="O26" i="30"/>
  <c r="O25" i="30"/>
  <c r="P52" i="30" s="1"/>
  <c r="O23" i="30"/>
  <c r="O22" i="30"/>
  <c r="P49" i="30" s="1"/>
  <c r="O20" i="30"/>
  <c r="P47" i="30" s="1"/>
  <c r="O19" i="30"/>
  <c r="P46" i="30" s="1"/>
  <c r="O17" i="30"/>
  <c r="P44" i="30" s="1"/>
  <c r="O16" i="30"/>
  <c r="P43" i="30" s="1"/>
  <c r="O14" i="30"/>
  <c r="P41" i="30" s="1"/>
  <c r="O13" i="30"/>
  <c r="T13" i="30" s="1"/>
  <c r="S55" i="30"/>
  <c r="Q49" i="30"/>
  <c r="S46" i="30"/>
  <c r="R46" i="30"/>
  <c r="S44" i="30"/>
  <c r="S40" i="30"/>
  <c r="R40" i="30"/>
  <c r="K28" i="30"/>
  <c r="K26" i="30"/>
  <c r="K25" i="30"/>
  <c r="K23" i="30"/>
  <c r="K22" i="30"/>
  <c r="K20" i="30"/>
  <c r="K19" i="30"/>
  <c r="K17" i="30"/>
  <c r="K16" i="30"/>
  <c r="K14" i="30"/>
  <c r="K13" i="30"/>
  <c r="Y31" i="30"/>
  <c r="Y30" i="30"/>
  <c r="R56" i="30"/>
  <c r="R55" i="30"/>
  <c r="R53" i="30"/>
  <c r="Q53" i="30"/>
  <c r="S52" i="30"/>
  <c r="R52" i="30"/>
  <c r="S49" i="30"/>
  <c r="R49" i="30"/>
  <c r="R47" i="30"/>
  <c r="R44" i="30"/>
  <c r="S43" i="30"/>
  <c r="R43" i="30"/>
  <c r="Q43" i="30"/>
  <c r="R41" i="30"/>
  <c r="G56" i="30"/>
  <c r="G55" i="30"/>
  <c r="G53" i="30"/>
  <c r="K53" i="30" s="1"/>
  <c r="G52" i="30"/>
  <c r="G50" i="30"/>
  <c r="G49" i="30"/>
  <c r="G47" i="30"/>
  <c r="G46" i="30"/>
  <c r="G44" i="30"/>
  <c r="G43" i="30"/>
  <c r="G41" i="30"/>
  <c r="G40" i="30"/>
  <c r="G31" i="30"/>
  <c r="G30" i="30"/>
  <c r="Z58" i="30"/>
  <c r="X58" i="30"/>
  <c r="AA57" i="30"/>
  <c r="Z57" i="30"/>
  <c r="X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V56" i="30" l="1"/>
  <c r="W56" i="30"/>
  <c r="F56" i="30"/>
  <c r="L56" i="30" s="1"/>
  <c r="K29" i="30"/>
  <c r="P55" i="30"/>
  <c r="T28" i="30"/>
  <c r="K52" i="30"/>
  <c r="K50" i="30"/>
  <c r="K47" i="30"/>
  <c r="K44" i="30"/>
  <c r="K43" i="30"/>
  <c r="K40" i="30"/>
  <c r="P31" i="30"/>
  <c r="V23" i="30"/>
  <c r="T20" i="30"/>
  <c r="W26" i="30"/>
  <c r="T29" i="30"/>
  <c r="T25" i="30"/>
  <c r="T23" i="30"/>
  <c r="P50" i="30"/>
  <c r="T19" i="30"/>
  <c r="T14" i="30"/>
  <c r="T26" i="30"/>
  <c r="P53" i="30"/>
  <c r="T22" i="30"/>
  <c r="P30" i="30"/>
  <c r="T16" i="30"/>
  <c r="T17" i="30"/>
  <c r="P40" i="30"/>
  <c r="G57" i="30"/>
  <c r="G58" i="30"/>
  <c r="L53" i="30"/>
  <c r="H58" i="30"/>
  <c r="L44" i="30"/>
  <c r="M46" i="30"/>
  <c r="N52" i="30"/>
  <c r="L50" i="30"/>
  <c r="M44" i="30"/>
  <c r="N29" i="30"/>
  <c r="N47" i="30"/>
  <c r="U23" i="30"/>
  <c r="L52" i="30"/>
  <c r="W23" i="30"/>
  <c r="AA58" i="30"/>
  <c r="U17" i="30"/>
  <c r="J57" i="30"/>
  <c r="V26" i="30"/>
  <c r="N46" i="30"/>
  <c r="W13" i="30"/>
  <c r="W25" i="30"/>
  <c r="Q58" i="30"/>
  <c r="Q57" i="30"/>
  <c r="V20" i="30"/>
  <c r="R57"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S58" i="30"/>
  <c r="W28" i="30"/>
  <c r="V28" i="30"/>
  <c r="U28" i="30"/>
  <c r="S57" i="30"/>
  <c r="R31" i="30"/>
  <c r="U16" i="30"/>
  <c r="V16" i="30"/>
  <c r="V22" i="30"/>
  <c r="O30" i="30"/>
  <c r="T30" i="30" s="1"/>
  <c r="R58" i="30"/>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M28" i="29"/>
  <c r="F28" i="27"/>
  <c r="F29" i="28"/>
  <c r="F28" i="28"/>
  <c r="P57" i="30" l="1"/>
  <c r="W55" i="30"/>
  <c r="V55" i="30"/>
  <c r="U55" i="30"/>
  <c r="N56" i="30"/>
  <c r="M56" i="30"/>
  <c r="K56" i="30"/>
  <c r="K55" i="30"/>
  <c r="P58"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W57" i="30" l="1"/>
  <c r="V57" i="30"/>
  <c r="U57" i="30"/>
  <c r="W58" i="30"/>
  <c r="V58" i="30"/>
  <c r="U58" i="30"/>
  <c r="N58" i="30"/>
  <c r="M58" i="30"/>
  <c r="L58" i="30"/>
  <c r="I56" i="29"/>
  <c r="F56" i="29" l="1"/>
  <c r="P29" i="29"/>
  <c r="O29" i="29"/>
  <c r="O56" i="29" s="1"/>
  <c r="N29" i="29"/>
  <c r="P28" i="29"/>
  <c r="O28" i="29"/>
  <c r="O55" i="29" s="1"/>
  <c r="N28" i="29"/>
  <c r="P26" i="29"/>
  <c r="P53" i="29" s="1"/>
  <c r="O26" i="29"/>
  <c r="O53" i="29" s="1"/>
  <c r="N26" i="29"/>
  <c r="M26" i="29"/>
  <c r="P25" i="29"/>
  <c r="O25" i="29"/>
  <c r="N25" i="29"/>
  <c r="M25" i="29"/>
  <c r="P23" i="29"/>
  <c r="S23" i="29" s="1"/>
  <c r="O23" i="29"/>
  <c r="O50" i="29" s="1"/>
  <c r="N23" i="29"/>
  <c r="N50" i="29" s="1"/>
  <c r="M23" i="29"/>
  <c r="M50" i="29" s="1"/>
  <c r="P22" i="29"/>
  <c r="O22" i="29"/>
  <c r="N22" i="29"/>
  <c r="M22" i="29"/>
  <c r="P20" i="29"/>
  <c r="P47" i="29" s="1"/>
  <c r="O20" i="29"/>
  <c r="N20" i="29"/>
  <c r="N47" i="29" s="1"/>
  <c r="P19" i="29"/>
  <c r="P46" i="29" s="1"/>
  <c r="O19" i="29"/>
  <c r="O46" i="29" s="1"/>
  <c r="N19" i="29"/>
  <c r="N46" i="29" s="1"/>
  <c r="M19" i="29"/>
  <c r="P17" i="29"/>
  <c r="O17" i="29"/>
  <c r="O44" i="29" s="1"/>
  <c r="N17" i="29"/>
  <c r="M17" i="29"/>
  <c r="P16" i="29"/>
  <c r="P43" i="29" s="1"/>
  <c r="O16" i="29"/>
  <c r="O43" i="29" s="1"/>
  <c r="N16" i="29"/>
  <c r="N43" i="29" s="1"/>
  <c r="M16" i="29"/>
  <c r="M43" i="29" s="1"/>
  <c r="P14" i="29"/>
  <c r="P41" i="29" s="1"/>
  <c r="O14" i="29"/>
  <c r="N14" i="29"/>
  <c r="O13" i="29"/>
  <c r="O40" i="29" s="1"/>
  <c r="N13" i="29"/>
  <c r="N40" i="29" s="1"/>
  <c r="M13" i="29"/>
  <c r="R13" i="29" s="1"/>
  <c r="U58" i="29"/>
  <c r="T58" i="29"/>
  <c r="V57" i="29"/>
  <c r="U57" i="29"/>
  <c r="T57" i="29"/>
  <c r="V56" i="29"/>
  <c r="H56" i="29"/>
  <c r="G56" i="29"/>
  <c r="I55" i="29"/>
  <c r="H55" i="29"/>
  <c r="G55" i="29"/>
  <c r="F55" i="29"/>
  <c r="I53" i="29"/>
  <c r="H53" i="29"/>
  <c r="G53" i="29"/>
  <c r="F53" i="29"/>
  <c r="I52" i="29"/>
  <c r="L52" i="29" s="1"/>
  <c r="H52" i="29"/>
  <c r="K52" i="29" s="1"/>
  <c r="G52" i="29"/>
  <c r="J52" i="29" s="1"/>
  <c r="F52" i="29"/>
  <c r="K50" i="29"/>
  <c r="I50" i="29"/>
  <c r="H50" i="29"/>
  <c r="G50" i="29"/>
  <c r="F50" i="29"/>
  <c r="O49" i="29"/>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P56" i="29"/>
  <c r="N56" i="29"/>
  <c r="V28" i="29"/>
  <c r="V30" i="29" s="1"/>
  <c r="P55" i="29"/>
  <c r="L28" i="29"/>
  <c r="K28" i="29"/>
  <c r="J28" i="29"/>
  <c r="N53" i="29"/>
  <c r="L26" i="29"/>
  <c r="K26" i="29"/>
  <c r="J26" i="29"/>
  <c r="P52" i="29"/>
  <c r="O52" i="29"/>
  <c r="S25" i="29"/>
  <c r="L25" i="29"/>
  <c r="K25" i="29"/>
  <c r="J25" i="29"/>
  <c r="P50" i="29"/>
  <c r="L23" i="29"/>
  <c r="K23" i="29"/>
  <c r="J23" i="29"/>
  <c r="P49" i="29"/>
  <c r="N49" i="29"/>
  <c r="L22" i="29"/>
  <c r="K22" i="29"/>
  <c r="J22" i="29"/>
  <c r="K20" i="29"/>
  <c r="J20" i="29"/>
  <c r="L19" i="29"/>
  <c r="K19" i="29"/>
  <c r="J19" i="29"/>
  <c r="P44" i="29"/>
  <c r="M44" i="29"/>
  <c r="L17" i="29"/>
  <c r="K17" i="29"/>
  <c r="J17" i="29"/>
  <c r="L16" i="29"/>
  <c r="K16" i="29"/>
  <c r="J16" i="29"/>
  <c r="L14" i="29"/>
  <c r="K14" i="29"/>
  <c r="J14" i="29"/>
  <c r="K13" i="29"/>
  <c r="J13" i="29"/>
  <c r="G30" i="28"/>
  <c r="L44" i="29" l="1"/>
  <c r="K55" i="29"/>
  <c r="L55" i="29"/>
  <c r="J40" i="29"/>
  <c r="K53" i="29"/>
  <c r="J46" i="29"/>
  <c r="J44" i="29"/>
  <c r="F57" i="29"/>
  <c r="K57" i="29" s="1"/>
  <c r="J53" i="29"/>
  <c r="K49" i="29"/>
  <c r="L49" i="29"/>
  <c r="N55" i="29"/>
  <c r="N57" i="29" s="1"/>
  <c r="J30" i="29"/>
  <c r="N52" i="29"/>
  <c r="N44" i="29"/>
  <c r="Q44" i="29" s="1"/>
  <c r="I58" i="29"/>
  <c r="K47" i="29"/>
  <c r="J55" i="29"/>
  <c r="O47" i="29"/>
  <c r="K46" i="29"/>
  <c r="S19" i="29"/>
  <c r="R22" i="29"/>
  <c r="O57" i="29"/>
  <c r="O41" i="29"/>
  <c r="O58" i="29" s="1"/>
  <c r="H58" i="29"/>
  <c r="L50" i="29"/>
  <c r="G57" i="29"/>
  <c r="G58" i="29"/>
  <c r="R17" i="29"/>
  <c r="R26" i="29"/>
  <c r="K31" i="29"/>
  <c r="L43" i="29"/>
  <c r="J49" i="29"/>
  <c r="L53" i="29"/>
  <c r="H57" i="29"/>
  <c r="S22" i="29"/>
  <c r="Q23" i="29"/>
  <c r="S26" i="29"/>
  <c r="Q22" i="29"/>
  <c r="R16" i="29"/>
  <c r="R19" i="29"/>
  <c r="P58" i="29"/>
  <c r="R44" i="29"/>
  <c r="S44" i="29"/>
  <c r="S50" i="29"/>
  <c r="R50" i="29"/>
  <c r="Q50" i="29"/>
  <c r="L56" i="29"/>
  <c r="K56" i="29"/>
  <c r="J56" i="29"/>
  <c r="S43" i="29"/>
  <c r="R43" i="29"/>
  <c r="Q43" i="29"/>
  <c r="F58" i="29"/>
  <c r="L31" i="29"/>
  <c r="L41" i="29"/>
  <c r="L47" i="29"/>
  <c r="M49" i="29"/>
  <c r="S16" i="29"/>
  <c r="Q17" i="29"/>
  <c r="L20" i="29"/>
  <c r="N30" i="29"/>
  <c r="K40" i="29"/>
  <c r="N41" i="29"/>
  <c r="M53" i="29"/>
  <c r="Q13" i="29"/>
  <c r="S17" i="29"/>
  <c r="Q19" i="29"/>
  <c r="R23" i="29"/>
  <c r="O31" i="29"/>
  <c r="M40" i="29"/>
  <c r="M46" i="29"/>
  <c r="J50" i="29"/>
  <c r="N31" i="29"/>
  <c r="J43" i="29"/>
  <c r="M52" i="29"/>
  <c r="Q25" i="29"/>
  <c r="P31" i="29"/>
  <c r="R25" i="29"/>
  <c r="J29" i="29"/>
  <c r="K43" i="29"/>
  <c r="O30" i="29"/>
  <c r="J31" i="29"/>
  <c r="J41" i="29"/>
  <c r="J47" i="29"/>
  <c r="Q26" i="29"/>
  <c r="K29" i="29"/>
  <c r="Q16" i="29"/>
  <c r="L29" i="29"/>
  <c r="K41" i="29"/>
  <c r="F20" i="28"/>
  <c r="U58" i="28"/>
  <c r="T58" i="28"/>
  <c r="V57" i="28"/>
  <c r="U57" i="28"/>
  <c r="T57" i="28"/>
  <c r="T31" i="28"/>
  <c r="I31" i="28"/>
  <c r="H31" i="28"/>
  <c r="G31" i="28"/>
  <c r="F31" i="28"/>
  <c r="U30" i="28"/>
  <c r="T30" i="28"/>
  <c r="I30" i="28"/>
  <c r="H30" i="28"/>
  <c r="F30" i="28"/>
  <c r="V58" i="27"/>
  <c r="U58" i="27"/>
  <c r="T58" i="27"/>
  <c r="P58" i="27"/>
  <c r="O58" i="27"/>
  <c r="N58" i="27"/>
  <c r="I58" i="27"/>
  <c r="H58" i="27"/>
  <c r="G58" i="27"/>
  <c r="V57" i="27"/>
  <c r="U57" i="27"/>
  <c r="T57" i="27"/>
  <c r="P57" i="27"/>
  <c r="O57" i="27"/>
  <c r="N57" i="27"/>
  <c r="I57" i="27"/>
  <c r="H57" i="27"/>
  <c r="G57" i="27"/>
  <c r="V31" i="27"/>
  <c r="U31" i="27"/>
  <c r="T31" i="27"/>
  <c r="P31" i="27"/>
  <c r="O31" i="27"/>
  <c r="N31" i="27"/>
  <c r="I31" i="27"/>
  <c r="H31" i="27"/>
  <c r="G31" i="27"/>
  <c r="V30" i="27"/>
  <c r="U30" i="27"/>
  <c r="T30" i="27"/>
  <c r="P30" i="27"/>
  <c r="O30" i="27"/>
  <c r="N30" i="27"/>
  <c r="I30" i="27"/>
  <c r="H30" i="27"/>
  <c r="G30" i="27"/>
  <c r="F31" i="27"/>
  <c r="F30" i="27"/>
  <c r="J57" i="29" l="1"/>
  <c r="N58" i="29"/>
  <c r="S52" i="29"/>
  <c r="R52" i="29"/>
  <c r="Q52" i="29"/>
  <c r="S49" i="29"/>
  <c r="R49" i="29"/>
  <c r="Q49" i="29"/>
  <c r="Q46" i="29"/>
  <c r="S46" i="29"/>
  <c r="R46" i="29"/>
  <c r="L58" i="29"/>
  <c r="K58" i="29"/>
  <c r="J58" i="29"/>
  <c r="R53" i="29"/>
  <c r="Q53" i="29"/>
  <c r="S53" i="29"/>
  <c r="Q40" i="29"/>
  <c r="R40"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P29" i="27"/>
  <c r="P29" i="28" s="1"/>
  <c r="P56" i="28" s="1"/>
  <c r="O29" i="27"/>
  <c r="O29" i="28" s="1"/>
  <c r="O56" i="28" s="1"/>
  <c r="N29" i="27"/>
  <c r="N29" i="28" s="1"/>
  <c r="N56" i="28" s="1"/>
  <c r="P28" i="27"/>
  <c r="P28" i="28" s="1"/>
  <c r="P55" i="28" s="1"/>
  <c r="O28" i="27"/>
  <c r="O55" i="27" s="1"/>
  <c r="N28" i="27"/>
  <c r="N28" i="28" s="1"/>
  <c r="N55" i="28" s="1"/>
  <c r="M28" i="27"/>
  <c r="P26" i="27"/>
  <c r="P26" i="28" s="1"/>
  <c r="P53" i="28" s="1"/>
  <c r="O26" i="27"/>
  <c r="O53" i="27" s="1"/>
  <c r="N26" i="27"/>
  <c r="N26" i="28" s="1"/>
  <c r="N53" i="28" s="1"/>
  <c r="M26" i="27"/>
  <c r="M53" i="27" s="1"/>
  <c r="P25" i="27"/>
  <c r="P25" i="28" s="1"/>
  <c r="P52" i="28" s="1"/>
  <c r="O25" i="27"/>
  <c r="O52" i="27" s="1"/>
  <c r="N25" i="27"/>
  <c r="N52" i="27" s="1"/>
  <c r="M25" i="27"/>
  <c r="P23" i="27"/>
  <c r="P23" i="28" s="1"/>
  <c r="P50" i="28" s="1"/>
  <c r="O23" i="27"/>
  <c r="O50" i="27" s="1"/>
  <c r="N23" i="27"/>
  <c r="N23" i="28" s="1"/>
  <c r="N50" i="28" s="1"/>
  <c r="M23" i="27"/>
  <c r="M50" i="27" s="1"/>
  <c r="P22" i="27"/>
  <c r="P22" i="28" s="1"/>
  <c r="P49" i="28" s="1"/>
  <c r="O22" i="27"/>
  <c r="O49" i="27" s="1"/>
  <c r="N22" i="27"/>
  <c r="N22" i="28" s="1"/>
  <c r="N49" i="28" s="1"/>
  <c r="M22" i="27"/>
  <c r="M49" i="27" s="1"/>
  <c r="P20" i="27"/>
  <c r="P20" i="28" s="1"/>
  <c r="P47" i="28" s="1"/>
  <c r="O20" i="27"/>
  <c r="O47" i="27" s="1"/>
  <c r="N20" i="27"/>
  <c r="N20" i="28" s="1"/>
  <c r="N47" i="28" s="1"/>
  <c r="P19" i="27"/>
  <c r="P19" i="28" s="1"/>
  <c r="P46" i="28" s="1"/>
  <c r="O19" i="27"/>
  <c r="O46" i="27" s="1"/>
  <c r="N19" i="27"/>
  <c r="N19" i="28" s="1"/>
  <c r="N46" i="28" s="1"/>
  <c r="P17" i="27"/>
  <c r="P17" i="28" s="1"/>
  <c r="O17" i="27"/>
  <c r="O44" i="27" s="1"/>
  <c r="N17" i="27"/>
  <c r="N17" i="28" s="1"/>
  <c r="M17" i="27"/>
  <c r="M17" i="28" s="1"/>
  <c r="M44" i="28" s="1"/>
  <c r="P16" i="27"/>
  <c r="P16" i="28" s="1"/>
  <c r="P43" i="28" s="1"/>
  <c r="O16" i="27"/>
  <c r="O16" i="28" s="1"/>
  <c r="O43" i="28" s="1"/>
  <c r="N16" i="27"/>
  <c r="N43" i="27" s="1"/>
  <c r="M16" i="27"/>
  <c r="Q16" i="27" s="1"/>
  <c r="P14" i="27"/>
  <c r="O14" i="27"/>
  <c r="N14" i="27"/>
  <c r="M14" i="27"/>
  <c r="Q14" i="27" s="1"/>
  <c r="P13" i="27"/>
  <c r="O13" i="27"/>
  <c r="N13" i="27"/>
  <c r="M13" i="27"/>
  <c r="S13" i="27" s="1"/>
  <c r="V56" i="27"/>
  <c r="O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P55" i="27"/>
  <c r="N55" i="27"/>
  <c r="L28" i="27"/>
  <c r="K28" i="27"/>
  <c r="J28" i="27"/>
  <c r="P53" i="27"/>
  <c r="N53" i="27"/>
  <c r="L26" i="27"/>
  <c r="K26" i="27"/>
  <c r="J26" i="27"/>
  <c r="P52" i="27"/>
  <c r="L25" i="27"/>
  <c r="K25" i="27"/>
  <c r="J25" i="27"/>
  <c r="P50" i="27"/>
  <c r="N50" i="27"/>
  <c r="L23" i="27"/>
  <c r="K23" i="27"/>
  <c r="J23" i="27"/>
  <c r="P49" i="27"/>
  <c r="N49" i="27"/>
  <c r="L22" i="27"/>
  <c r="K22" i="27"/>
  <c r="J22" i="27"/>
  <c r="P47" i="27"/>
  <c r="N47" i="27"/>
  <c r="L19" i="27"/>
  <c r="K19" i="27"/>
  <c r="J19" i="27"/>
  <c r="P44" i="27"/>
  <c r="L17" i="27"/>
  <c r="K17" i="27"/>
  <c r="J17" i="27"/>
  <c r="L16" i="27"/>
  <c r="K16" i="27"/>
  <c r="J16" i="27"/>
  <c r="N41" i="27"/>
  <c r="L14" i="27"/>
  <c r="K14" i="27"/>
  <c r="J14" i="27"/>
  <c r="P40" i="27"/>
  <c r="N40" i="27"/>
  <c r="L13" i="27"/>
  <c r="K13" i="27"/>
  <c r="J13" i="27"/>
  <c r="F20" i="26"/>
  <c r="F29" i="26"/>
  <c r="L46" i="27" l="1"/>
  <c r="F57" i="27"/>
  <c r="F58" i="28"/>
  <c r="G57" i="28"/>
  <c r="G58" i="28"/>
  <c r="H58" i="28"/>
  <c r="L43" i="28"/>
  <c r="K46" i="28"/>
  <c r="K49" i="28"/>
  <c r="K52" i="28"/>
  <c r="J49" i="27"/>
  <c r="J44" i="27"/>
  <c r="N13" i="28"/>
  <c r="N40" i="28" s="1"/>
  <c r="P13" i="28"/>
  <c r="P30" i="28" s="1"/>
  <c r="O40" i="27"/>
  <c r="N16" i="28"/>
  <c r="N43" i="28" s="1"/>
  <c r="N14" i="28"/>
  <c r="N31" i="28" s="1"/>
  <c r="J20" i="27"/>
  <c r="O25" i="28"/>
  <c r="O52" i="28" s="1"/>
  <c r="O14" i="28"/>
  <c r="S25" i="27"/>
  <c r="P14" i="28"/>
  <c r="P31" i="28" s="1"/>
  <c r="J55" i="27"/>
  <c r="M55" i="27"/>
  <c r="S55" i="27" s="1"/>
  <c r="K53" i="27"/>
  <c r="N46" i="27"/>
  <c r="K44" i="27"/>
  <c r="M16" i="28"/>
  <c r="M43" i="28" s="1"/>
  <c r="N25" i="28"/>
  <c r="N52" i="28" s="1"/>
  <c r="O19" i="28"/>
  <c r="O46" i="28" s="1"/>
  <c r="O28" i="28"/>
  <c r="O55" i="28" s="1"/>
  <c r="M13" i="28"/>
  <c r="M40" i="28" s="1"/>
  <c r="O22" i="28"/>
  <c r="O49" i="28" s="1"/>
  <c r="P40" i="28"/>
  <c r="P57" i="28" s="1"/>
  <c r="O41" i="27"/>
  <c r="P46" i="27"/>
  <c r="Q26" i="27"/>
  <c r="N56" i="27"/>
  <c r="L43" i="27"/>
  <c r="O13" i="28"/>
  <c r="P41" i="27"/>
  <c r="M44" i="27"/>
  <c r="S26" i="27"/>
  <c r="P56" i="27"/>
  <c r="S14" i="27"/>
  <c r="N44" i="27"/>
  <c r="L52" i="27"/>
  <c r="M14" i="28"/>
  <c r="M14" i="29" s="1"/>
  <c r="M23" i="28"/>
  <c r="M50" i="28" s="1"/>
  <c r="S50" i="28" s="1"/>
  <c r="M26" i="28"/>
  <c r="Q26" i="28" s="1"/>
  <c r="K30" i="27"/>
  <c r="K41" i="27"/>
  <c r="O17" i="28"/>
  <c r="O44" i="28" s="1"/>
  <c r="R44" i="28" s="1"/>
  <c r="O20" i="28"/>
  <c r="O47" i="28" s="1"/>
  <c r="O23" i="28"/>
  <c r="O50" i="28" s="1"/>
  <c r="O26" i="28"/>
  <c r="O53" i="28" s="1"/>
  <c r="M22" i="28"/>
  <c r="S22" i="28" s="1"/>
  <c r="M25" i="28"/>
  <c r="S25" i="28" s="1"/>
  <c r="M28" i="28"/>
  <c r="S17" i="28"/>
  <c r="L55" i="28"/>
  <c r="L53" i="28"/>
  <c r="L56" i="28"/>
  <c r="L30" i="28"/>
  <c r="J40" i="28"/>
  <c r="Q17" i="28"/>
  <c r="J41" i="28"/>
  <c r="L44" i="28"/>
  <c r="J46" i="28"/>
  <c r="J53" i="28"/>
  <c r="K53" i="28"/>
  <c r="L46" i="28"/>
  <c r="N44" i="28"/>
  <c r="K41" i="28"/>
  <c r="K44" i="28"/>
  <c r="L49" i="28"/>
  <c r="L52" i="28"/>
  <c r="K55" i="28"/>
  <c r="L41" i="28"/>
  <c r="L50" i="28"/>
  <c r="K30" i="28"/>
  <c r="K40" i="28"/>
  <c r="S16" i="28"/>
  <c r="S43" i="28"/>
  <c r="J47" i="28"/>
  <c r="L47" i="28"/>
  <c r="K47" i="28"/>
  <c r="J52" i="28"/>
  <c r="P44" i="28"/>
  <c r="L40" i="28"/>
  <c r="J44" i="28"/>
  <c r="J50" i="28"/>
  <c r="J56" i="28"/>
  <c r="J43" i="28"/>
  <c r="R43" i="28"/>
  <c r="K50" i="28"/>
  <c r="K56" i="28"/>
  <c r="J29" i="28"/>
  <c r="J30" i="28"/>
  <c r="K43" i="28"/>
  <c r="J49" i="28"/>
  <c r="J55" i="28"/>
  <c r="K29" i="27"/>
  <c r="L56" i="27"/>
  <c r="J29" i="27"/>
  <c r="L29" i="27"/>
  <c r="R26" i="27"/>
  <c r="J53" i="27"/>
  <c r="L57" i="27"/>
  <c r="M41" i="27"/>
  <c r="Q41" i="27" s="1"/>
  <c r="J30" i="27"/>
  <c r="L30" i="27"/>
  <c r="S16" i="27"/>
  <c r="L44" i="27"/>
  <c r="L55" i="27"/>
  <c r="Q28" i="27"/>
  <c r="K40" i="27"/>
  <c r="Q22" i="27"/>
  <c r="M43" i="27"/>
  <c r="Q43" i="27" s="1"/>
  <c r="K46" i="27"/>
  <c r="L53" i="27"/>
  <c r="S22" i="27"/>
  <c r="R14" i="27"/>
  <c r="J46" i="27"/>
  <c r="L49" i="27"/>
  <c r="R13" i="27"/>
  <c r="J40" i="27"/>
  <c r="K56" i="27"/>
  <c r="K50" i="27"/>
  <c r="K55" i="27"/>
  <c r="L41" i="27"/>
  <c r="J41" i="27"/>
  <c r="K49" i="27"/>
  <c r="R16" i="27"/>
  <c r="R25" i="27"/>
  <c r="S50" i="27"/>
  <c r="R50" i="27"/>
  <c r="Q50" i="27"/>
  <c r="S49" i="27"/>
  <c r="S44" i="27"/>
  <c r="R44" i="27"/>
  <c r="R53" i="27"/>
  <c r="Q53" i="27"/>
  <c r="S53" i="27"/>
  <c r="K20" i="27"/>
  <c r="R22" i="27"/>
  <c r="O43" i="27"/>
  <c r="J52" i="27"/>
  <c r="Q17" i="27"/>
  <c r="L20" i="27"/>
  <c r="R28" i="27"/>
  <c r="R17" i="27"/>
  <c r="Q23" i="27"/>
  <c r="S28" i="27"/>
  <c r="L40" i="27"/>
  <c r="P43" i="27"/>
  <c r="F47" i="27"/>
  <c r="K52" i="27"/>
  <c r="Q13" i="27"/>
  <c r="S17" i="27"/>
  <c r="R23" i="27"/>
  <c r="M40" i="27"/>
  <c r="J50" i="27"/>
  <c r="J56" i="27"/>
  <c r="S23" i="27"/>
  <c r="Q25" i="27"/>
  <c r="J43" i="27"/>
  <c r="Q49" i="27"/>
  <c r="M52" i="27"/>
  <c r="K43" i="27"/>
  <c r="R49" i="27"/>
  <c r="P29" i="26"/>
  <c r="O29" i="26"/>
  <c r="O56" i="26" s="1"/>
  <c r="N29" i="26"/>
  <c r="N56" i="26" s="1"/>
  <c r="P28" i="26"/>
  <c r="O28" i="26"/>
  <c r="N28" i="26"/>
  <c r="N55" i="26" s="1"/>
  <c r="M28" i="26"/>
  <c r="Q28" i="26" s="1"/>
  <c r="P26" i="26"/>
  <c r="O26" i="26"/>
  <c r="O53" i="26" s="1"/>
  <c r="N26" i="26"/>
  <c r="M26" i="26"/>
  <c r="P25" i="26"/>
  <c r="O25" i="26"/>
  <c r="O52" i="26" s="1"/>
  <c r="N25" i="26"/>
  <c r="M25" i="26"/>
  <c r="M52" i="26" s="1"/>
  <c r="P23" i="26"/>
  <c r="O23" i="26"/>
  <c r="O50" i="26" s="1"/>
  <c r="N23" i="26"/>
  <c r="N50" i="26" s="1"/>
  <c r="M23" i="26"/>
  <c r="M50" i="26" s="1"/>
  <c r="P22" i="26"/>
  <c r="O22" i="26"/>
  <c r="N22" i="26"/>
  <c r="N49" i="26" s="1"/>
  <c r="M22" i="26"/>
  <c r="M49" i="26" s="1"/>
  <c r="P20" i="26"/>
  <c r="O20" i="26"/>
  <c r="O47" i="26" s="1"/>
  <c r="N20" i="26"/>
  <c r="P19" i="26"/>
  <c r="O19" i="26"/>
  <c r="N19" i="26"/>
  <c r="N46" i="26" s="1"/>
  <c r="P17" i="26"/>
  <c r="O17" i="26"/>
  <c r="O44" i="26" s="1"/>
  <c r="N17" i="26"/>
  <c r="N44" i="26" s="1"/>
  <c r="M17" i="26"/>
  <c r="M44" i="26" s="1"/>
  <c r="P16" i="26"/>
  <c r="O16" i="26"/>
  <c r="N16" i="26"/>
  <c r="N43" i="26" s="1"/>
  <c r="M16" i="26"/>
  <c r="M43" i="26" s="1"/>
  <c r="P14" i="26"/>
  <c r="O14" i="26"/>
  <c r="O41" i="26" s="1"/>
  <c r="N14" i="26"/>
  <c r="M14" i="26"/>
  <c r="P13" i="26"/>
  <c r="O13" i="26"/>
  <c r="N13" i="26"/>
  <c r="N40" i="26" s="1"/>
  <c r="M13" i="26"/>
  <c r="M40" i="26" s="1"/>
  <c r="U58" i="26"/>
  <c r="T58" i="26"/>
  <c r="V57" i="26"/>
  <c r="U57" i="26"/>
  <c r="T57" i="26"/>
  <c r="V56" i="26"/>
  <c r="H56" i="26"/>
  <c r="G56" i="26"/>
  <c r="I55" i="26"/>
  <c r="H55" i="26"/>
  <c r="G55" i="26"/>
  <c r="F55" i="26"/>
  <c r="P53" i="26"/>
  <c r="I53" i="26"/>
  <c r="H53" i="26"/>
  <c r="G53" i="26"/>
  <c r="F53" i="26"/>
  <c r="I52" i="26"/>
  <c r="H52" i="26"/>
  <c r="G52" i="26"/>
  <c r="F52" i="26"/>
  <c r="I50" i="26"/>
  <c r="H50" i="26"/>
  <c r="G50" i="26"/>
  <c r="F50" i="26"/>
  <c r="I49" i="26"/>
  <c r="H49" i="26"/>
  <c r="G49" i="26"/>
  <c r="F49" i="26"/>
  <c r="V47" i="26"/>
  <c r="V58" i="26" s="1"/>
  <c r="H47" i="26"/>
  <c r="G47" i="26"/>
  <c r="O46" i="26"/>
  <c r="I46" i="26"/>
  <c r="H46" i="26"/>
  <c r="G46" i="26"/>
  <c r="F46" i="26"/>
  <c r="L46" i="26" s="1"/>
  <c r="P44" i="26"/>
  <c r="I44" i="26"/>
  <c r="H44" i="26"/>
  <c r="G44" i="26"/>
  <c r="F44" i="26"/>
  <c r="I43" i="26"/>
  <c r="H43" i="26"/>
  <c r="G43" i="26"/>
  <c r="F43" i="26"/>
  <c r="I41" i="26"/>
  <c r="H41" i="26"/>
  <c r="G41" i="26"/>
  <c r="F41" i="26"/>
  <c r="O40" i="26"/>
  <c r="I40" i="26"/>
  <c r="H40" i="26"/>
  <c r="G40" i="26"/>
  <c r="G57" i="26" s="1"/>
  <c r="F40" i="26"/>
  <c r="F36" i="26"/>
  <c r="U31" i="26"/>
  <c r="T31" i="26"/>
  <c r="H31" i="26"/>
  <c r="G31" i="26"/>
  <c r="U30" i="26"/>
  <c r="T30" i="26"/>
  <c r="I30" i="26"/>
  <c r="H30" i="26"/>
  <c r="G30" i="26"/>
  <c r="F30" i="26"/>
  <c r="V29" i="26"/>
  <c r="V31" i="26" s="1"/>
  <c r="U29" i="26"/>
  <c r="P56" i="26"/>
  <c r="K29" i="26"/>
  <c r="J29" i="26"/>
  <c r="I56" i="26"/>
  <c r="F56" i="26"/>
  <c r="V28" i="26"/>
  <c r="V30" i="26" s="1"/>
  <c r="P55" i="26"/>
  <c r="O55" i="26"/>
  <c r="L28" i="26"/>
  <c r="K28" i="26"/>
  <c r="J28" i="26"/>
  <c r="N53" i="26"/>
  <c r="S26" i="26"/>
  <c r="L26" i="26"/>
  <c r="K26" i="26"/>
  <c r="J26" i="26"/>
  <c r="P52" i="26"/>
  <c r="N52" i="26"/>
  <c r="L25" i="26"/>
  <c r="K25" i="26"/>
  <c r="J25" i="26"/>
  <c r="P50" i="26"/>
  <c r="L23" i="26"/>
  <c r="K23" i="26"/>
  <c r="J23" i="26"/>
  <c r="P49" i="26"/>
  <c r="O49" i="26"/>
  <c r="L22" i="26"/>
  <c r="K22" i="26"/>
  <c r="J22" i="26"/>
  <c r="L20" i="26"/>
  <c r="J20" i="26"/>
  <c r="I47" i="26"/>
  <c r="K20" i="26"/>
  <c r="P46" i="26"/>
  <c r="L19" i="26"/>
  <c r="K19" i="26"/>
  <c r="J19" i="26"/>
  <c r="L17" i="26"/>
  <c r="K17" i="26"/>
  <c r="J17" i="26"/>
  <c r="P43" i="26"/>
  <c r="O43" i="26"/>
  <c r="L16" i="26"/>
  <c r="K16" i="26"/>
  <c r="J16" i="26"/>
  <c r="S14" i="26"/>
  <c r="P41" i="26"/>
  <c r="Q14" i="26"/>
  <c r="L14" i="26"/>
  <c r="K14" i="26"/>
  <c r="J14" i="26"/>
  <c r="P40" i="26"/>
  <c r="O30" i="26"/>
  <c r="L13" i="26"/>
  <c r="K13" i="26"/>
  <c r="J13" i="26"/>
  <c r="S3" i="24"/>
  <c r="S28" i="28" l="1"/>
  <c r="S14" i="29"/>
  <c r="R14" i="29"/>
  <c r="Q14" i="29"/>
  <c r="M41" i="29"/>
  <c r="R55" i="27"/>
  <c r="N57" i="28"/>
  <c r="O40" i="28"/>
  <c r="O57" i="28" s="1"/>
  <c r="O30" i="28"/>
  <c r="N41" i="28"/>
  <c r="N58" i="28" s="1"/>
  <c r="Q13" i="28"/>
  <c r="M49" i="28"/>
  <c r="S49" i="28" s="1"/>
  <c r="N30" i="28"/>
  <c r="O41" i="28"/>
  <c r="O58" i="28" s="1"/>
  <c r="O31" i="28"/>
  <c r="S13" i="28"/>
  <c r="Q43" i="28"/>
  <c r="M52" i="28"/>
  <c r="Q52" i="28" s="1"/>
  <c r="Q16" i="28"/>
  <c r="R50" i="28"/>
  <c r="Q50" i="28"/>
  <c r="S23" i="28"/>
  <c r="R13" i="28"/>
  <c r="R16" i="28"/>
  <c r="R22" i="28"/>
  <c r="P41" i="28"/>
  <c r="P58" i="28" s="1"/>
  <c r="Q55" i="27"/>
  <c r="Q25" i="28"/>
  <c r="M53" i="28"/>
  <c r="Q53" i="28" s="1"/>
  <c r="S14" i="28"/>
  <c r="R25" i="28"/>
  <c r="Q23" i="28"/>
  <c r="S26" i="28"/>
  <c r="Q44" i="27"/>
  <c r="R17" i="28"/>
  <c r="R23" i="28"/>
  <c r="R14" i="28"/>
  <c r="M41" i="28"/>
  <c r="Q22" i="28"/>
  <c r="Q28" i="28"/>
  <c r="R28" i="28"/>
  <c r="M55" i="28"/>
  <c r="Q55" i="28" s="1"/>
  <c r="Q14" i="28"/>
  <c r="R26" i="28"/>
  <c r="J57" i="28"/>
  <c r="Q44" i="28"/>
  <c r="L57" i="28"/>
  <c r="K57" i="28"/>
  <c r="S44" i="28"/>
  <c r="L58" i="28"/>
  <c r="K58" i="28"/>
  <c r="J58" i="28"/>
  <c r="R40" i="28"/>
  <c r="S40" i="28"/>
  <c r="Q40" i="28"/>
  <c r="R52" i="28"/>
  <c r="J31" i="28"/>
  <c r="L31" i="28"/>
  <c r="K31" i="28"/>
  <c r="J57" i="27"/>
  <c r="K57" i="27"/>
  <c r="R41" i="27"/>
  <c r="S41" i="27"/>
  <c r="R43" i="27"/>
  <c r="K31" i="27"/>
  <c r="J31" i="27"/>
  <c r="L31" i="27"/>
  <c r="S43" i="27"/>
  <c r="S52" i="27"/>
  <c r="R52" i="27"/>
  <c r="Q52" i="27"/>
  <c r="Q40" i="27"/>
  <c r="R40" i="27"/>
  <c r="S40" i="27"/>
  <c r="K47" i="27"/>
  <c r="J47" i="27"/>
  <c r="L47" i="27"/>
  <c r="L50" i="26"/>
  <c r="J50" i="26"/>
  <c r="L49" i="26"/>
  <c r="L41" i="26"/>
  <c r="L44" i="26"/>
  <c r="Q26" i="26"/>
  <c r="J53" i="26"/>
  <c r="L53" i="26"/>
  <c r="K53" i="26"/>
  <c r="Q17" i="26"/>
  <c r="J49" i="26"/>
  <c r="K49" i="26"/>
  <c r="J30" i="26"/>
  <c r="H57" i="26"/>
  <c r="R17" i="26"/>
  <c r="N47" i="26"/>
  <c r="H58" i="26"/>
  <c r="R14" i="26"/>
  <c r="L40" i="26"/>
  <c r="L55" i="26"/>
  <c r="R26" i="26"/>
  <c r="K40" i="26"/>
  <c r="I58" i="26"/>
  <c r="K46" i="26"/>
  <c r="K50" i="26"/>
  <c r="L30" i="26"/>
  <c r="I57" i="26"/>
  <c r="J41" i="26"/>
  <c r="J40" i="26"/>
  <c r="J46" i="26"/>
  <c r="F57" i="26"/>
  <c r="S44" i="26"/>
  <c r="J55" i="26"/>
  <c r="L52" i="26"/>
  <c r="K55" i="26"/>
  <c r="Q16" i="26"/>
  <c r="K30" i="26"/>
  <c r="R16" i="26"/>
  <c r="Q22" i="26"/>
  <c r="R25" i="26"/>
  <c r="S25" i="26"/>
  <c r="R28" i="26"/>
  <c r="R22" i="26"/>
  <c r="M55" i="26"/>
  <c r="S55" i="26" s="1"/>
  <c r="P57" i="26"/>
  <c r="O57" i="26"/>
  <c r="L56" i="26"/>
  <c r="K56" i="26"/>
  <c r="J56" i="26"/>
  <c r="S43" i="26"/>
  <c r="R43" i="26"/>
  <c r="Q43" i="26"/>
  <c r="S52" i="26"/>
  <c r="R52" i="26"/>
  <c r="Q52" i="26"/>
  <c r="S49" i="26"/>
  <c r="Q40" i="26"/>
  <c r="S40" i="26"/>
  <c r="R40" i="26"/>
  <c r="S50" i="26"/>
  <c r="R50" i="26"/>
  <c r="Q50" i="26"/>
  <c r="N57" i="26"/>
  <c r="O58" i="26"/>
  <c r="G58" i="26"/>
  <c r="Q13" i="26"/>
  <c r="S17" i="26"/>
  <c r="S22" i="26"/>
  <c r="Q23" i="26"/>
  <c r="S28" i="26"/>
  <c r="N30" i="26"/>
  <c r="M41" i="26"/>
  <c r="Q44" i="26"/>
  <c r="J52" i="26"/>
  <c r="R13" i="26"/>
  <c r="R23" i="26"/>
  <c r="F31" i="26"/>
  <c r="N31" i="26"/>
  <c r="N41" i="26"/>
  <c r="N58" i="26" s="1"/>
  <c r="J44" i="26"/>
  <c r="R44" i="26"/>
  <c r="F47" i="26"/>
  <c r="K52" i="26"/>
  <c r="M53" i="26"/>
  <c r="S13" i="26"/>
  <c r="S23" i="26"/>
  <c r="Q25" i="26"/>
  <c r="P30" i="26"/>
  <c r="O31" i="26"/>
  <c r="K44" i="26"/>
  <c r="P47" i="26"/>
  <c r="P58" i="26" s="1"/>
  <c r="P31" i="26"/>
  <c r="J43" i="26"/>
  <c r="Q49" i="26"/>
  <c r="I31" i="26"/>
  <c r="K43" i="26"/>
  <c r="R49" i="26"/>
  <c r="L43" i="26"/>
  <c r="S16"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M55" i="29" l="1"/>
  <c r="S28" i="29"/>
  <c r="R28" i="29"/>
  <c r="M30" i="29"/>
  <c r="Q28" i="29"/>
  <c r="Q41" i="29"/>
  <c r="R41" i="29"/>
  <c r="S41" i="29"/>
  <c r="Q49" i="28"/>
  <c r="Q41" i="28"/>
  <c r="R49" i="28"/>
  <c r="S52" i="28"/>
  <c r="S41" i="28"/>
  <c r="S53" i="28"/>
  <c r="R53" i="28"/>
  <c r="R41" i="28"/>
  <c r="S55" i="28"/>
  <c r="R55" i="28"/>
  <c r="L58" i="27"/>
  <c r="K58" i="27"/>
  <c r="J58" i="27"/>
  <c r="R55" i="26"/>
  <c r="L57" i="26"/>
  <c r="J57" i="26"/>
  <c r="K57" i="26"/>
  <c r="Q55" i="26"/>
  <c r="K47" i="26"/>
  <c r="J47" i="26"/>
  <c r="L47" i="26"/>
  <c r="S41" i="26"/>
  <c r="R41" i="26"/>
  <c r="Q41" i="26"/>
  <c r="R53" i="26"/>
  <c r="Q53" i="26"/>
  <c r="S53"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R30" i="29" l="1"/>
  <c r="Q30" i="29"/>
  <c r="R55" i="29"/>
  <c r="Q55" i="29"/>
  <c r="M57" i="29"/>
  <c r="S55" i="29"/>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R57" i="29" l="1"/>
  <c r="Q57" i="29"/>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R19" i="18" s="1"/>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7" i="20" l="1"/>
  <c r="M13" i="21"/>
  <c r="S10" i="20"/>
  <c r="R10" i="20"/>
  <c r="N16" i="22"/>
  <c r="N43" i="22" s="1"/>
  <c r="N43" i="21"/>
  <c r="N19" i="22"/>
  <c r="N46" i="22" s="1"/>
  <c r="N46" i="21"/>
  <c r="P14" i="21"/>
  <c r="S11" i="20"/>
  <c r="O19" i="22"/>
  <c r="O46" i="22" s="1"/>
  <c r="O46" i="21"/>
  <c r="O22" i="22"/>
  <c r="O49" i="22" s="1"/>
  <c r="O49" i="21"/>
  <c r="O25" i="22"/>
  <c r="O52" i="22" s="1"/>
  <c r="O52" i="21"/>
  <c r="O28" i="22"/>
  <c r="O55" i="22" s="1"/>
  <c r="O55" i="21"/>
  <c r="P22" i="22"/>
  <c r="P49" i="22" s="1"/>
  <c r="P49" i="21"/>
  <c r="P28" i="22"/>
  <c r="P55" i="22" s="1"/>
  <c r="P55" i="21"/>
  <c r="M23" i="21"/>
  <c r="Q20" i="20"/>
  <c r="S20" i="20"/>
  <c r="R20" i="20"/>
  <c r="M26" i="21"/>
  <c r="R23" i="20"/>
  <c r="S23" i="20"/>
  <c r="N25" i="22"/>
  <c r="N52" i="22" s="1"/>
  <c r="N52" i="21"/>
  <c r="P17" i="22"/>
  <c r="P44" i="22" s="1"/>
  <c r="P44" i="21"/>
  <c r="P20" i="22"/>
  <c r="P47" i="22" s="1"/>
  <c r="P47" i="21"/>
  <c r="P23" i="22"/>
  <c r="P50" i="22" s="1"/>
  <c r="P50" i="21"/>
  <c r="S23" i="19"/>
  <c r="P23" i="20"/>
  <c r="P26" i="21" s="1"/>
  <c r="P29" i="22"/>
  <c r="P56" i="22" s="1"/>
  <c r="P56" i="21"/>
  <c r="Q17" i="20"/>
  <c r="N22" i="22"/>
  <c r="N49" i="22" s="1"/>
  <c r="N49" i="21"/>
  <c r="Q22" i="18"/>
  <c r="Q25" i="18"/>
  <c r="M13" i="19"/>
  <c r="M13" i="20" s="1"/>
  <c r="Q11" i="20"/>
  <c r="R14" i="20"/>
  <c r="H25" i="14"/>
  <c r="M27" i="14"/>
  <c r="O13" i="22"/>
  <c r="O40" i="21"/>
  <c r="O57" i="21" s="1"/>
  <c r="O30" i="21"/>
  <c r="O16" i="22"/>
  <c r="O43" i="22" s="1"/>
  <c r="O43" i="21"/>
  <c r="M16" i="19"/>
  <c r="M16" i="20" s="1"/>
  <c r="O27" i="20"/>
  <c r="N28" i="22"/>
  <c r="N55" i="22" s="1"/>
  <c r="N55" i="21"/>
  <c r="P13" i="22"/>
  <c r="P40" i="21"/>
  <c r="P30" i="21"/>
  <c r="P16" i="22"/>
  <c r="P43" i="22" s="1"/>
  <c r="P43" i="21"/>
  <c r="P19" i="22"/>
  <c r="P46" i="22" s="1"/>
  <c r="P46" i="21"/>
  <c r="R17" i="20"/>
  <c r="O28" i="20"/>
  <c r="M14" i="22"/>
  <c r="M41" i="21"/>
  <c r="Q14" i="21"/>
  <c r="R14" i="21"/>
  <c r="S14" i="21"/>
  <c r="M17" i="22"/>
  <c r="M44" i="21"/>
  <c r="R17" i="21"/>
  <c r="S17" i="21"/>
  <c r="M20" i="22"/>
  <c r="M20" i="26" s="1"/>
  <c r="M47" i="21"/>
  <c r="R20" i="21"/>
  <c r="R11" i="20"/>
  <c r="S14" i="20"/>
  <c r="Q20" i="21"/>
  <c r="N14" i="22"/>
  <c r="N41" i="21"/>
  <c r="Q14" i="20"/>
  <c r="N17" i="21"/>
  <c r="N20" i="22"/>
  <c r="N47" i="22" s="1"/>
  <c r="N47" i="21"/>
  <c r="N23" i="22"/>
  <c r="N50" i="22" s="1"/>
  <c r="N50" i="21"/>
  <c r="Q23" i="19"/>
  <c r="N23" i="20"/>
  <c r="N26" i="21" s="1"/>
  <c r="N29" i="22"/>
  <c r="N56" i="22" s="1"/>
  <c r="N56" i="21"/>
  <c r="P27" i="20"/>
  <c r="S20" i="21"/>
  <c r="P25" i="22"/>
  <c r="P52" i="22" s="1"/>
  <c r="P52" i="21"/>
  <c r="O14" i="22"/>
  <c r="O41" i="21"/>
  <c r="O31" i="21"/>
  <c r="O17" i="22"/>
  <c r="O44" i="22" s="1"/>
  <c r="O44" i="21"/>
  <c r="O20" i="22"/>
  <c r="O47" i="22" s="1"/>
  <c r="O47" i="21"/>
  <c r="O23" i="22"/>
  <c r="O50" i="22" s="1"/>
  <c r="O50" i="21"/>
  <c r="O26" i="22"/>
  <c r="O53" i="22" s="1"/>
  <c r="O53" i="21"/>
  <c r="O29" i="22"/>
  <c r="O56" i="22" s="1"/>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28"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M20" i="27" l="1"/>
  <c r="M20" i="28" s="1"/>
  <c r="M20" i="29" s="1"/>
  <c r="Q20" i="26"/>
  <c r="R20" i="26"/>
  <c r="S20" i="26"/>
  <c r="M47" i="26"/>
  <c r="S19" i="19"/>
  <c r="S17" i="22"/>
  <c r="R17" i="22"/>
  <c r="M44" i="22"/>
  <c r="O40" i="22"/>
  <c r="O30" i="22"/>
  <c r="P30" i="22"/>
  <c r="P40" i="22"/>
  <c r="P57" i="22" s="1"/>
  <c r="N27" i="19"/>
  <c r="R26" i="19"/>
  <c r="M26" i="20"/>
  <c r="N17" i="22"/>
  <c r="N44" i="22" s="1"/>
  <c r="N44" i="21"/>
  <c r="N58" i="21" s="1"/>
  <c r="Q23" i="20"/>
  <c r="S47" i="21"/>
  <c r="R47" i="21"/>
  <c r="Q47" i="21"/>
  <c r="M26" i="22"/>
  <c r="M53" i="21"/>
  <c r="S26" i="21"/>
  <c r="R26" i="21"/>
  <c r="Q26" i="21"/>
  <c r="M28" i="21"/>
  <c r="Q25" i="20"/>
  <c r="R25" i="20"/>
  <c r="S25" i="20"/>
  <c r="O58" i="21"/>
  <c r="N26" i="22"/>
  <c r="N53" i="22" s="1"/>
  <c r="N53" i="21"/>
  <c r="Q53" i="21" s="1"/>
  <c r="N31" i="21"/>
  <c r="Q20" i="22"/>
  <c r="M47" i="22"/>
  <c r="R20" i="22"/>
  <c r="S20" i="22"/>
  <c r="M19" i="21"/>
  <c r="Q19" i="19"/>
  <c r="S22" i="19"/>
  <c r="M22" i="20"/>
  <c r="O41" i="22"/>
  <c r="O58" i="22" s="1"/>
  <c r="O31" i="22"/>
  <c r="Q41" i="21"/>
  <c r="S41" i="21"/>
  <c r="R41" i="21"/>
  <c r="Q10" i="19"/>
  <c r="M22" i="21"/>
  <c r="R19" i="20"/>
  <c r="S19" i="20"/>
  <c r="Q19" i="20"/>
  <c r="N41" i="22"/>
  <c r="N58" i="22" s="1"/>
  <c r="N31" i="22"/>
  <c r="Q17" i="21"/>
  <c r="Q14" i="22"/>
  <c r="R14" i="22"/>
  <c r="M41" i="22"/>
  <c r="O57" i="22"/>
  <c r="M16" i="21"/>
  <c r="R13" i="20"/>
  <c r="Q13" i="20"/>
  <c r="S13" i="20"/>
  <c r="P26" i="22"/>
  <c r="P53" i="22" s="1"/>
  <c r="P53" i="21"/>
  <c r="P28" i="20"/>
  <c r="N13" i="21"/>
  <c r="N27" i="20"/>
  <c r="Q44" i="21"/>
  <c r="S44" i="21"/>
  <c r="R44" i="21"/>
  <c r="N28" i="20"/>
  <c r="P57" i="21"/>
  <c r="M23" i="22"/>
  <c r="M50" i="21"/>
  <c r="S23" i="21"/>
  <c r="R23" i="21"/>
  <c r="Q23" i="21"/>
  <c r="P14" i="22"/>
  <c r="S14" i="22" s="1"/>
  <c r="P41" i="21"/>
  <c r="P31" i="21"/>
  <c r="M13" i="22"/>
  <c r="M40" i="21"/>
  <c r="S13" i="21"/>
  <c r="Q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S20" i="29" l="1"/>
  <c r="M47" i="29"/>
  <c r="Q20" i="29"/>
  <c r="R20" i="29"/>
  <c r="R20" i="28"/>
  <c r="S20" i="28"/>
  <c r="Q20" i="28"/>
  <c r="M47" i="28"/>
  <c r="S47" i="26"/>
  <c r="Q47" i="26"/>
  <c r="R47" i="26"/>
  <c r="Q20" i="27"/>
  <c r="S20" i="27"/>
  <c r="R20" i="27"/>
  <c r="M47" i="27"/>
  <c r="M16" i="22"/>
  <c r="S16" i="21"/>
  <c r="M43" i="21"/>
  <c r="R16" i="21"/>
  <c r="Q16" i="21"/>
  <c r="M19" i="22"/>
  <c r="M19" i="26" s="1"/>
  <c r="S19" i="21"/>
  <c r="Q19" i="21"/>
  <c r="R19" i="21"/>
  <c r="Q17" i="22"/>
  <c r="S40" i="21"/>
  <c r="R40" i="21"/>
  <c r="S50" i="21"/>
  <c r="R50" i="21"/>
  <c r="Q50" i="21"/>
  <c r="N13" i="22"/>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49" i="21"/>
  <c r="S22" i="21"/>
  <c r="Q22" i="21"/>
  <c r="R22" i="21"/>
  <c r="S47" i="22"/>
  <c r="Q47" i="22"/>
  <c r="R47" i="22"/>
  <c r="P31" i="22"/>
  <c r="P41" i="22"/>
  <c r="P58" i="22" s="1"/>
  <c r="M25" i="21"/>
  <c r="M30" i="21" s="1"/>
  <c r="R22" i="20"/>
  <c r="Q22" i="20"/>
  <c r="S22" i="20"/>
  <c r="M28" i="22"/>
  <c r="M55" i="21"/>
  <c r="R28" i="21"/>
  <c r="S28" i="21"/>
  <c r="Q28" i="21"/>
  <c r="M27" i="20"/>
  <c r="S28" i="19"/>
  <c r="R28" i="19"/>
  <c r="L28" i="17"/>
  <c r="J28" i="17"/>
  <c r="R26" i="17"/>
  <c r="S26" i="17"/>
  <c r="Q26" i="17"/>
  <c r="M28" i="17"/>
  <c r="L27" i="17"/>
  <c r="K27" i="17"/>
  <c r="J27" i="17"/>
  <c r="R25" i="17"/>
  <c r="Q25" i="17"/>
  <c r="S25" i="17"/>
  <c r="M27" i="17"/>
  <c r="P27" i="1"/>
  <c r="P28" i="1"/>
  <c r="Q47" i="29" l="1"/>
  <c r="S47" i="29"/>
  <c r="R47" i="29"/>
  <c r="R47" i="28"/>
  <c r="S47" i="28"/>
  <c r="Q47" i="28"/>
  <c r="Q47" i="27"/>
  <c r="R47" i="27"/>
  <c r="S47" i="27"/>
  <c r="M46" i="26"/>
  <c r="M19" i="27"/>
  <c r="M30" i="27" s="1"/>
  <c r="R19" i="26"/>
  <c r="S19" i="26"/>
  <c r="M30" i="26"/>
  <c r="Q19" i="26"/>
  <c r="Q30" i="21"/>
  <c r="S30" i="21"/>
  <c r="R30" i="21"/>
  <c r="S46" i="21"/>
  <c r="R46" i="21"/>
  <c r="Q46" i="21"/>
  <c r="R27" i="20"/>
  <c r="S27" i="20"/>
  <c r="Q27" i="20"/>
  <c r="R53" i="22"/>
  <c r="Q53" i="22"/>
  <c r="S53" i="22"/>
  <c r="S40" i="22"/>
  <c r="R40" i="22"/>
  <c r="Q40" i="22"/>
  <c r="S28" i="20"/>
  <c r="Q28" i="20"/>
  <c r="R28" i="20"/>
  <c r="S41" i="22"/>
  <c r="Q40" i="21"/>
  <c r="S50" i="22"/>
  <c r="Q50" i="22"/>
  <c r="R50" i="22"/>
  <c r="Q49" i="21"/>
  <c r="S49" i="21"/>
  <c r="R49" i="21"/>
  <c r="N40" i="22"/>
  <c r="N57" i="22" s="1"/>
  <c r="N30" i="22"/>
  <c r="S43" i="21"/>
  <c r="R43" i="21"/>
  <c r="Q43" i="21"/>
  <c r="Q19" i="22"/>
  <c r="R19" i="22"/>
  <c r="M46" i="22"/>
  <c r="S19" i="22"/>
  <c r="M25" i="22"/>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19" i="28" l="1"/>
  <c r="M30" i="28" s="1"/>
  <c r="M56" i="26"/>
  <c r="M29" i="27"/>
  <c r="M31" i="27" s="1"/>
  <c r="R29" i="26"/>
  <c r="Q29" i="26"/>
  <c r="S29" i="26"/>
  <c r="M31" i="26"/>
  <c r="R30" i="26"/>
  <c r="S30" i="26"/>
  <c r="Q30" i="26"/>
  <c r="S19" i="27"/>
  <c r="R19" i="27"/>
  <c r="Q19" i="27"/>
  <c r="M46" i="27"/>
  <c r="M57" i="27" s="1"/>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19" i="28" l="1"/>
  <c r="M46" i="28"/>
  <c r="M57" i="28" s="1"/>
  <c r="Q19" i="28"/>
  <c r="R19" i="28"/>
  <c r="M29" i="28"/>
  <c r="M29" i="29" s="1"/>
  <c r="S30" i="28"/>
  <c r="Q30" i="28"/>
  <c r="R30" i="28"/>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Q29" i="28" l="1"/>
  <c r="M31" i="28"/>
  <c r="S31" i="28" s="1"/>
  <c r="R29" i="28"/>
  <c r="M56" i="28"/>
  <c r="M58" i="28" s="1"/>
  <c r="Q46" i="28"/>
  <c r="R46" i="28"/>
  <c r="S46" i="28"/>
  <c r="S29" i="28"/>
  <c r="R57" i="28"/>
  <c r="S57" i="28"/>
  <c r="Q57"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Q56" i="28" l="1"/>
  <c r="Q31" i="28"/>
  <c r="R31" i="28"/>
  <c r="M56" i="29"/>
  <c r="S29" i="29"/>
  <c r="R29" i="29"/>
  <c r="Q29" i="29"/>
  <c r="M31" i="29"/>
  <c r="S56" i="28"/>
  <c r="S58" i="28"/>
  <c r="Q58" i="28"/>
  <c r="R58" i="28"/>
  <c r="S58" i="27"/>
  <c r="R58" i="27"/>
  <c r="Q58" i="27"/>
  <c r="J27" i="9"/>
  <c r="I27" i="9"/>
  <c r="J28" i="9"/>
  <c r="I28" i="9"/>
  <c r="Q28" i="9"/>
  <c r="O27" i="9"/>
  <c r="N27" i="9"/>
  <c r="N26" i="9"/>
  <c r="K28" i="9"/>
  <c r="Q27" i="1"/>
  <c r="I26" i="1"/>
  <c r="I17" i="1"/>
  <c r="S31" i="29" l="1"/>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R58" i="29" l="1"/>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13" i="29" l="1"/>
  <c r="P40" i="29"/>
  <c r="P30" i="29"/>
  <c r="S30" i="29" s="1"/>
  <c r="P57" i="29" l="1"/>
  <c r="S57" i="29" s="1"/>
  <c r="S40" i="29"/>
</calcChain>
</file>

<file path=xl/sharedStrings.xml><?xml version="1.0" encoding="utf-8"?>
<sst xmlns="http://schemas.openxmlformats.org/spreadsheetml/2006/main" count="890" uniqueCount="107">
  <si>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</si>
  <si>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</si>
  <si>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</si>
  <si>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</si>
  <si>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</si>
  <si>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</si>
  <si>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</si>
  <si>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</si>
  <si>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</si>
  <si>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</si>
  <si>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</si>
  <si>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</si>
  <si>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</si>
  <si>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</si>
  <si>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</si>
  <si>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</si>
  <si>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</si>
  <si>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</si>
  <si>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</si>
  <si>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</si>
  <si>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</si>
  <si>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</si>
  <si>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</si>
  <si>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</si>
  <si>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</si>
  <si>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</si>
  <si>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</si>
  <si>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</si>
  <si>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</si>
  <si>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</si>
  <si>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</si>
  <si>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</si>
  <si>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</si>
  <si>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</si>
  <si>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</si>
  <si>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</si>
  <si>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</si>
  <si>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</si>
  <si>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</si>
  <si>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</si>
  <si>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</si>
  <si>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</si>
  <si>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</si>
  <si>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</si>
  <si>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</si>
  <si>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</si>
  <si>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</si>
  <si>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</si>
  <si>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</si>
  <si>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</si>
  <si>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</si>
  <si>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</si>
  <si>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</si>
  <si>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</si>
  <si>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</si>
  <si>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</si>
  <si>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</si>
  <si>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</si>
  <si>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</si>
  <si>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</si>
  <si>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</si>
  <si>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</si>
  <si>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</si>
  <si>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</si>
  <si>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</si>
  <si>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</si>
  <si>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</si>
  <si>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</si>
  <si>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</si>
  <si>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</si>
  <si>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</si>
  <si>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</si>
  <si>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</si>
  <si>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</si>
  <si>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</si>
  <si>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</si>
  <si>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</si>
  <si>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</si>
  <si>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</si>
  <si>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</si>
  <si>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</si>
  <si>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</si>
  <si>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</si>
  <si>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Occupancy Ratios - 2022</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</si>
  <si>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</si>
  <si>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</si>
  <si>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</si>
  <si>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</si>
  <si>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</si>
  <si>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</si>
  <si>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</si>
  <si>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</si>
  <si>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</si>
  <si>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</si>
  <si>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</si>
  <si>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</si>
  <si>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</si>
  <si>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</si>
  <si>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</si>
  <si>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Updated</t>
  </si>
  <si>
    <t>Previous</t>
  </si>
  <si>
    <t xml:space="preserve">Notes: </t>
  </si>
  <si>
    <t>Occupancy ratios will lag one month due to availability of data</t>
  </si>
  <si>
    <t>Historical occupancy data updated in November 2022 to reflect latest data on each ship's lower berth passenger capacity</t>
  </si>
  <si>
    <t>January 2023</t>
  </si>
  <si>
    <t>April to January (YTD)</t>
  </si>
  <si>
    <t>2023/19 Chg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</si>
</sst>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0">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24">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29" fillId="5" borderId="7" xfId="3" applyFont="1" applyBorder="1"/>
    <xf numFmtId="0" fontId="31" fillId="0" borderId="0" xfId="0" applyFont="1"/>
    <xf numFmtId="171" fontId="30" fillId="2" borderId="6" xfId="1" applyNumberFormat="1" applyFont="1" applyBorder="1" applyAlignment="1">
      <alignment horizontal="right"/>
    </xf>
    <xf numFmtId="9" fontId="29" fillId="5" borderId="7" xfId="8" applyFont="1" applyFill="1" applyBorder="1" applyAlignment="1" applyProtection="1">
      <alignment horizontal="right" vertical="center"/>
    </xf>
    <xf numFmtId="9" fontId="29" fillId="5" borderId="0" xfId="8" applyFont="1" applyFill="1" applyBorder="1" applyAlignment="1" applyProtection="1">
      <alignment horizontal="right" vertical="center"/>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7" xfId="1" applyFont="1" applyBorder="1"/>
    <xf numFmtId="0" fontId="18" fillId="2" borderId="18" xfId="1" applyFont="1" applyBorder="1"/>
    <xf numFmtId="0" fontId="18" fillId="2" borderId="19" xfId="1" applyFont="1" applyBorder="1"/>
    <xf numFmtId="0" fontId="18" fillId="2" borderId="16"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0" fontId="18" fillId="2" borderId="6"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1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3</xdr:row>
      <xdr:rowOff>31712</xdr:rowOff>
    </xdr:from>
    <xdr:to>
      <xdr:col>18</xdr:col>
      <xdr:colOff>0</xdr:colOff>
      <xdr:row>25</xdr:row>
      <xdr:rowOff>0</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849741"/>
          <a:ext cx="10436262" cy="46523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 </a:t>
          </a:r>
          <a:r>
            <a:rPr lang="de-DE" sz="1000" b="1">
              <a:latin typeface="+mn-lt"/>
            </a:rPr>
            <a:t> </a:t>
          </a:r>
          <a:r>
            <a:rPr lang="de-DE" sz="1000" b="1" i="0" u="none" strike="noStrike">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                                                               		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BPI		</a:t>
          </a:r>
          <a:r>
            <a:rPr kumimoji="0" lang="de-DE" sz="1000" b="0" i="0" u="none" strike="noStrike" kern="0" cap="none" spc="0" normalizeH="0" baseline="0" noProof="0">
              <a:ln>
                <a:noFill/>
              </a:ln>
              <a:solidFill>
                <a:prstClr val="black"/>
              </a:solidFill>
              <a:effectLst/>
              <a:uLnTx/>
              <a:uFillTx/>
              <a:latin typeface="+mn-lt"/>
              <a:ea typeface="+mn-ea"/>
              <a:cs typeface="+mn-cs"/>
            </a:rPr>
            <a:t>Cruise ports included: Creuers (Barcelona) and Malaga.</a:t>
          </a:r>
        </a:p>
        <a:p>
          <a:pPr marL="0" marR="0" indent="0" defTabSz="914400" rtl="0" eaLnBrk="1" fontAlgn="auto" latinLnBrk="0" hangingPunct="1">
            <a:lnSpc>
              <a:spcPct val="100000"/>
            </a:lnSpc>
            <a:spcBef>
              <a:spcPts val="600"/>
            </a:spcBef>
            <a:spcAft>
              <a:spcPts val="0"/>
            </a:spcAft>
            <a:buClrTx/>
            <a:buSzTx/>
            <a:buFontTx/>
            <a:buNone/>
            <a:tabLst/>
            <a:defRPr/>
          </a:pPr>
          <a:r>
            <a:rPr lang="de-DE" sz="1000" b="1" i="0" u="none" strike="noStrike">
              <a:solidFill>
                <a:schemeClr val="dk1"/>
              </a:solidFill>
              <a:effectLst/>
              <a:latin typeface="+mn-lt"/>
              <a:ea typeface="+mn-ea"/>
              <a:cs typeface="+mn-cs"/>
            </a:rPr>
            <a:t>Other Cruise</a:t>
          </a:r>
          <a:r>
            <a:rPr lang="de-DE" sz="1000" b="1" i="0" u="none" strike="noStrike" baseline="0">
              <a:solidFill>
                <a:schemeClr val="dk1"/>
              </a:solidFill>
              <a:effectLst/>
              <a:latin typeface="+mn-lt"/>
              <a:ea typeface="+mn-ea"/>
              <a:cs typeface="+mn-cs"/>
            </a:rPr>
            <a:t> 		</a:t>
          </a:r>
          <a:r>
            <a:rPr lang="de-DE" sz="1000">
              <a:solidFill>
                <a:schemeClr val="dk1"/>
              </a:solidFill>
              <a:effectLst/>
              <a:latin typeface="+mn-lt"/>
              <a:ea typeface="+mn-ea"/>
              <a:cs typeface="+mn-cs"/>
            </a:rPr>
            <a:t>Cruise ports included: Bodrum, Cagliari, Catania, Crotone (from Mar 2022),  Kalundborg (from Feb</a:t>
          </a:r>
          <a:r>
            <a:rPr lang="de-DE" sz="1000" baseline="0">
              <a:solidFill>
                <a:schemeClr val="dk1"/>
              </a:solidFill>
              <a:effectLst/>
              <a:latin typeface="+mn-lt"/>
              <a:ea typeface="+mn-ea"/>
              <a:cs typeface="+mn-cs"/>
            </a:rPr>
            <a:t> 2</a:t>
          </a:r>
          <a:r>
            <a:rPr lang="de-DE" sz="1000">
              <a:solidFill>
                <a:schemeClr val="dk1"/>
              </a:solidFill>
              <a:effectLst/>
              <a:latin typeface="+mn-lt"/>
              <a:ea typeface="+mn-ea"/>
              <a:cs typeface="+mn-cs"/>
            </a:rPr>
            <a:t>022),Ravenna</a:t>
          </a:r>
          <a:r>
            <a:rPr lang="de-DE" sz="1000" baseline="0">
              <a:solidFill>
                <a:schemeClr val="dk1"/>
              </a:solidFill>
              <a:effectLst/>
              <a:latin typeface="+mn-lt"/>
              <a:ea typeface="+mn-ea"/>
              <a:cs typeface="+mn-cs"/>
            </a:rPr>
            <a:t> (up until </a:t>
          </a:r>
          <a:r>
            <a:rPr lang="de-DE" sz="1000">
              <a:solidFill>
                <a:schemeClr val="dk1"/>
              </a:solidFill>
              <a:effectLst/>
              <a:latin typeface="+mn-lt"/>
              <a:ea typeface="+mn-ea"/>
              <a:cs typeface="+mn-cs"/>
            </a:rPr>
            <a:t>2022) ,Taranto (from 2021), 		Tarragona (from Apr 2022) and Zadar as well as cruise activity in </a:t>
          </a:r>
          <a:r>
            <a:rPr lang="de-DE" sz="1000">
              <a:solidFill>
                <a:schemeClr val="tx1"/>
              </a:solidFill>
              <a:effectLst/>
              <a:latin typeface="+mn-lt"/>
              <a:ea typeface="+mn-ea"/>
              <a:cs typeface="+mn-cs"/>
            </a:rPr>
            <a:t>Port of Adria. In</a:t>
          </a:r>
          <a:r>
            <a:rPr lang="de-DE" sz="1000" baseline="0">
              <a:solidFill>
                <a:schemeClr val="tx1"/>
              </a:solidFill>
              <a:effectLst/>
              <a:latin typeface="+mn-lt"/>
              <a:ea typeface="+mn-ea"/>
              <a:cs typeface="+mn-cs"/>
            </a:rPr>
            <a:t> addition</a:t>
          </a:r>
          <a:r>
            <a:rPr lang="de-DE" sz="1000">
              <a:solidFill>
                <a:schemeClr val="tx1"/>
              </a:solidFill>
              <a:effectLst/>
              <a:latin typeface="+mn-lt"/>
              <a:ea typeface="+mn-ea"/>
              <a:cs typeface="+mn-cs"/>
            </a:rPr>
            <a:t>, The Canary</a:t>
          </a:r>
          <a:r>
            <a:rPr lang="de-DE" sz="1000" baseline="0">
              <a:solidFill>
                <a:schemeClr val="tx1"/>
              </a:solidFill>
              <a:effectLst/>
              <a:latin typeface="+mn-lt"/>
              <a:ea typeface="+mn-ea"/>
              <a:cs typeface="+mn-cs"/>
            </a:rPr>
            <a:t> Islands (Gran Canaria, Lanzarote, and Fuerteventura)      </a:t>
          </a:r>
          <a:r>
            <a:rPr lang="de-DE" sz="1000" baseline="0">
              <a:solidFill>
                <a:schemeClr val="bg1"/>
              </a:solidFill>
              <a:effectLst/>
              <a:latin typeface="+mn-lt"/>
              <a:ea typeface="+mn-ea"/>
              <a:cs typeface="+mn-cs"/>
            </a:rPr>
            <a:t>w</a:t>
          </a:r>
          <a:r>
            <a:rPr lang="de-DE" sz="1000" baseline="0">
              <a:solidFill>
                <a:schemeClr val="tx1"/>
              </a:solidFill>
              <a:effectLst/>
              <a:latin typeface="+mn-lt"/>
              <a:ea typeface="+mn-ea"/>
              <a:cs typeface="+mn-cs"/>
            </a:rPr>
            <a:t>                                                              were</a:t>
          </a:r>
          <a:r>
            <a:rPr lang="de-DE" sz="1000">
              <a:solidFill>
                <a:schemeClr val="tx1"/>
              </a:solidFill>
              <a:effectLst/>
              <a:latin typeface="+mn-lt"/>
              <a:ea typeface="+mn-ea"/>
              <a:cs typeface="+mn-cs"/>
            </a:rPr>
            <a:t> added (from Oct-2022, </a:t>
          </a:r>
          <a:r>
            <a:rPr lang="de-DE" sz="1000" baseline="0">
              <a:solidFill>
                <a:schemeClr val="tx1"/>
              </a:solidFill>
              <a:effectLst/>
              <a:latin typeface="+mn-lt"/>
              <a:ea typeface="+mn-ea"/>
              <a:cs typeface="+mn-cs"/>
            </a:rPr>
            <a:t> </a:t>
          </a:r>
          <a:r>
            <a:rPr lang="de-DE" sz="1000">
              <a:solidFill>
                <a:schemeClr val="tx1"/>
              </a:solidFill>
              <a:effectLst/>
              <a:latin typeface="+mn-lt"/>
              <a:ea typeface="+mn-ea"/>
              <a:cs typeface="+mn-cs"/>
            </a:rPr>
            <a:t>October</a:t>
          </a:r>
          <a:r>
            <a:rPr lang="de-DE" sz="1000" baseline="0">
              <a:solidFill>
                <a:schemeClr val="tx1"/>
              </a:solidFill>
              <a:effectLst/>
              <a:latin typeface="+mn-lt"/>
              <a:ea typeface="+mn-ea"/>
              <a:cs typeface="+mn-cs"/>
            </a:rPr>
            <a:t> and November figures </a:t>
          </a:r>
          <a:r>
            <a:rPr lang="de-DE" sz="1000">
              <a:solidFill>
                <a:schemeClr val="tx1"/>
              </a:solidFill>
              <a:effectLst/>
              <a:latin typeface="+mn-lt"/>
              <a:ea typeface="+mn-ea"/>
              <a:cs typeface="+mn-cs"/>
            </a:rPr>
            <a:t>retrospectively corrected in Dec-2022).</a:t>
          </a: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744071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703125" style="2" customWidth="1"/>
    <col min="3" max="3" width="9.2851562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hidden="1" customWidth="1"/>
    <col min="17" max="17" width="3.5703125" style="2" hidden="1" customWidth="1"/>
    <col min="18" max="16384" width="10.28515625" style="2" hidden="1"/>
  </cols>
  <sheetData>
    <row r="1" spans="3:11" ht="23.25">
      <c r="C1" s="1"/>
      <c r="D1" s="1"/>
      <c r="E1" s="1"/>
      <c r="F1" s="1"/>
      <c r="G1" s="1"/>
      <c r="H1" s="1"/>
    </row>
    <row r="2" spans="3:11" ht="28.5" thickBot="1">
      <c r="C2" s="3" t="s">
        <v>0</v>
      </c>
      <c r="D2" s="4"/>
      <c r="E2" s="4"/>
      <c r="F2" s="4"/>
      <c r="G2" s="4"/>
      <c r="H2" s="4"/>
      <c r="I2" s="4"/>
      <c r="J2" s="4"/>
      <c r="K2" s="4"/>
    </row>
    <row r="3" spans="3:11" ht="13.5"/>
    <row r="4" spans="3:11" ht="15.75">
      <c r="C4" s="5"/>
    </row>
    <row r="5" spans="3:11" ht="28.5">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44941</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5" hidden="1"/>
    <row r="32" spans="3:11" ht="13.5" hidden="1"/>
    <row r="33" ht="13.5" hidden="1"/>
    <row r="34" ht="13.5" hidden="1"/>
    <row r="35" ht="13.5" hidden="1"/>
    <row r="36" ht="13.5" hidden="1"/>
    <row r="37" ht="13.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5" zoomScale="110" zoomScaleNormal="110" zoomScalePageLayoutView="40" workbookViewId="0">
      <selection activeCell="G25" sqref="G25"/>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87</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7" t="s">
        <v>22</v>
      </c>
      <c r="G9" s="117"/>
      <c r="H9" s="117"/>
      <c r="I9" s="117"/>
      <c r="J9" s="117"/>
      <c r="K9" s="117"/>
      <c r="L9" s="118"/>
      <c r="M9" s="119" t="s">
        <v>88</v>
      </c>
      <c r="N9" s="117"/>
      <c r="O9" s="117"/>
      <c r="P9" s="117"/>
      <c r="Q9" s="117"/>
      <c r="R9" s="117"/>
      <c r="S9" s="118"/>
      <c r="T9" s="119" t="s">
        <v>57</v>
      </c>
      <c r="U9" s="117"/>
      <c r="V9" s="120"/>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5">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5">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5">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422392</v>
      </c>
      <c r="N20" s="69">
        <f>G20+'Aug-22'!N20</f>
        <v>424</v>
      </c>
      <c r="O20" s="69">
        <f>H20+'Aug-22'!O20</f>
        <v>1753</v>
      </c>
      <c r="P20" s="69">
        <f>I20+'Aug-22'!P20</f>
        <v>203378</v>
      </c>
      <c r="Q20" s="65">
        <f t="shared" si="9"/>
        <v>995.20754716981128</v>
      </c>
      <c r="R20" s="65">
        <f t="shared" si="10"/>
        <v>239.95379349686252</v>
      </c>
      <c r="S20" s="61">
        <f t="shared" si="11"/>
        <v>1.0768814719389512</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5">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5">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127</v>
      </c>
      <c r="U28" s="71">
        <v>37</v>
      </c>
      <c r="V28" s="79">
        <f>282+81</f>
        <v>363</v>
      </c>
    </row>
    <row r="29" spans="1:38" ht="15">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5216728</v>
      </c>
      <c r="N31" s="48">
        <f t="shared" si="26"/>
        <v>572992</v>
      </c>
      <c r="O31" s="48">
        <f t="shared" si="26"/>
        <v>1293209</v>
      </c>
      <c r="P31" s="48">
        <f t="shared" si="26"/>
        <v>6854606</v>
      </c>
      <c r="Q31" s="68">
        <f t="shared" si="22"/>
        <v>8.1043644588406121</v>
      </c>
      <c r="R31" s="68">
        <f t="shared" si="23"/>
        <v>3.0339403762268899</v>
      </c>
      <c r="S31" s="64">
        <f t="shared" si="24"/>
        <v>-0.2389456082523197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96"/>
      <c r="J34" s="96"/>
      <c r="K34" s="96"/>
      <c r="L34" s="25"/>
      <c r="M34" s="25"/>
      <c r="N34" s="25"/>
      <c r="O34" s="25"/>
      <c r="P34" s="25"/>
      <c r="Q34" s="25"/>
      <c r="R34" s="25"/>
      <c r="S34" s="25"/>
      <c r="T34" s="25"/>
      <c r="U34" s="25"/>
      <c r="V34" s="25"/>
    </row>
    <row r="35" spans="1:22" ht="15">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17" t="str">
        <f>F9</f>
        <v>September</v>
      </c>
      <c r="G36" s="117"/>
      <c r="H36" s="117"/>
      <c r="I36" s="117"/>
      <c r="J36" s="117"/>
      <c r="K36" s="117"/>
      <c r="L36" s="118"/>
      <c r="M36" s="119" t="s">
        <v>89</v>
      </c>
      <c r="N36" s="117"/>
      <c r="O36" s="117"/>
      <c r="P36" s="117"/>
      <c r="Q36" s="117"/>
      <c r="R36" s="117"/>
      <c r="S36" s="118"/>
      <c r="T36" s="119" t="s">
        <v>58</v>
      </c>
      <c r="U36" s="117"/>
      <c r="V36" s="120"/>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420920</v>
      </c>
      <c r="N47" s="83">
        <f>+N20-'Mar-22'!N17</f>
        <v>424</v>
      </c>
      <c r="O47" s="83">
        <f>+O20-'Mar-22'!O17</f>
        <v>111</v>
      </c>
      <c r="P47" s="83">
        <f>+P20-'Mar-22'!P17</f>
        <v>198240</v>
      </c>
      <c r="Q47" s="65">
        <f>IFERROR(M47/N47-1,"n/a")</f>
        <v>991.7358490566038</v>
      </c>
      <c r="R47" s="65">
        <f>IFERROR(M47/O47-1,"n/a")</f>
        <v>3791.0720720720719</v>
      </c>
      <c r="S47" s="61">
        <f t="shared" si="41"/>
        <v>1.1232849071832121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65"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65"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4349023</v>
      </c>
      <c r="N58" s="48">
        <f t="shared" si="59"/>
        <v>562889</v>
      </c>
      <c r="O58" s="48">
        <f t="shared" si="59"/>
        <v>17018</v>
      </c>
      <c r="P58" s="48">
        <f t="shared" si="59"/>
        <v>5064080</v>
      </c>
      <c r="Q58" s="68">
        <f>IFERROR(M58/N58-1,"n/a")</f>
        <v>6.7262533110435632</v>
      </c>
      <c r="R58" s="68">
        <f>IFERROR(M58/O58-1,"n/a")</f>
        <v>254.55429545187448</v>
      </c>
      <c r="S58" s="64">
        <f t="shared" si="57"/>
        <v>-0.14120175826606218</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72</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7" t="s">
        <v>69</v>
      </c>
      <c r="G9" s="117"/>
      <c r="H9" s="117"/>
      <c r="I9" s="117"/>
      <c r="J9" s="117"/>
      <c r="K9" s="117"/>
      <c r="L9" s="118"/>
      <c r="M9" s="119" t="s">
        <v>71</v>
      </c>
      <c r="N9" s="117"/>
      <c r="O9" s="117"/>
      <c r="P9" s="117"/>
      <c r="Q9" s="117"/>
      <c r="R9" s="117"/>
      <c r="S9" s="118"/>
      <c r="T9" s="119" t="s">
        <v>57</v>
      </c>
      <c r="U9" s="117"/>
      <c r="V9" s="120"/>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5">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5">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5">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342146</v>
      </c>
      <c r="N20" s="69">
        <f>G20+'Jul-22'!N20</f>
        <v>0</v>
      </c>
      <c r="O20" s="69">
        <f>H20+'Jul-22'!O20</f>
        <v>1753</v>
      </c>
      <c r="P20" s="69">
        <f>I20+'Jul-22'!P20</f>
        <v>167542</v>
      </c>
      <c r="Q20" s="65" t="str">
        <f t="shared" si="9"/>
        <v>n/a</v>
      </c>
      <c r="R20" s="65">
        <f t="shared" si="10"/>
        <v>194.17741015402169</v>
      </c>
      <c r="S20" s="61">
        <f t="shared" si="11"/>
        <v>1.0421506249179311</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5">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5">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127</v>
      </c>
      <c r="U28" s="71">
        <v>37</v>
      </c>
      <c r="V28" s="79">
        <f>282+81</f>
        <v>363</v>
      </c>
    </row>
    <row r="29" spans="1:38" ht="15">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4378861</v>
      </c>
      <c r="N31" s="48">
        <f t="shared" si="26"/>
        <v>332144</v>
      </c>
      <c r="O31" s="48">
        <f t="shared" si="26"/>
        <v>1287137</v>
      </c>
      <c r="P31" s="48">
        <f t="shared" si="26"/>
        <v>6070338</v>
      </c>
      <c r="Q31" s="68">
        <f t="shared" si="22"/>
        <v>12.183622163880726</v>
      </c>
      <c r="R31" s="68">
        <f t="shared" si="23"/>
        <v>2.4020162577876327</v>
      </c>
      <c r="S31" s="64">
        <f t="shared" si="24"/>
        <v>-0.27864626318995744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7" t="str">
        <f>F9</f>
        <v>August</v>
      </c>
      <c r="G36" s="117"/>
      <c r="H36" s="117"/>
      <c r="I36" s="117"/>
      <c r="J36" s="117"/>
      <c r="K36" s="117"/>
      <c r="L36" s="118"/>
      <c r="M36" s="119" t="s">
        <v>70</v>
      </c>
      <c r="N36" s="117"/>
      <c r="O36" s="117"/>
      <c r="P36" s="117"/>
      <c r="Q36" s="117"/>
      <c r="R36" s="117"/>
      <c r="S36" s="118"/>
      <c r="T36" s="119" t="s">
        <v>58</v>
      </c>
      <c r="U36" s="117"/>
      <c r="V36" s="120"/>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340674</v>
      </c>
      <c r="N47" s="83">
        <f>+N20-'Mar-22'!N17</f>
        <v>0</v>
      </c>
      <c r="O47" s="83">
        <f>+O20-'Mar-22'!O17</f>
        <v>111</v>
      </c>
      <c r="P47" s="83">
        <f>+P20-'Mar-22'!P17</f>
        <v>162404</v>
      </c>
      <c r="Q47" s="65" t="str">
        <f>IFERROR(M47/N47-1,"n/a")</f>
        <v>n/a</v>
      </c>
      <c r="R47" s="65">
        <f>IFERROR(M47/O47-1,"n/a")</f>
        <v>3068.135135135135</v>
      </c>
      <c r="S47" s="61">
        <f t="shared" si="41"/>
        <v>1.0976946380631021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65"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65"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3511156</v>
      </c>
      <c r="N58" s="48">
        <f t="shared" si="59"/>
        <v>322041</v>
      </c>
      <c r="O58" s="48">
        <f t="shared" si="59"/>
        <v>10946</v>
      </c>
      <c r="P58" s="48">
        <f t="shared" si="59"/>
        <v>4279812</v>
      </c>
      <c r="Q58" s="68">
        <f>IFERROR(M58/N58-1,"n/a")</f>
        <v>9.9028229324837529</v>
      </c>
      <c r="R58" s="68">
        <f>IFERROR(M58/O58-1,"n/a")</f>
        <v>319.77069249040744</v>
      </c>
      <c r="S58" s="64">
        <f t="shared" si="57"/>
        <v>-0.17960041235456137</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85" zoomScaleNormal="85"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7" t="s">
        <v>55</v>
      </c>
      <c r="G9" s="117"/>
      <c r="H9" s="117"/>
      <c r="I9" s="117"/>
      <c r="J9" s="117"/>
      <c r="K9" s="117"/>
      <c r="L9" s="118"/>
      <c r="M9" s="119" t="s">
        <v>60</v>
      </c>
      <c r="N9" s="117"/>
      <c r="O9" s="117"/>
      <c r="P9" s="117"/>
      <c r="Q9" s="117"/>
      <c r="R9" s="117"/>
      <c r="S9" s="118"/>
      <c r="T9" s="119" t="s">
        <v>57</v>
      </c>
      <c r="U9" s="117"/>
      <c r="V9" s="120"/>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5">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5">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5">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239590</v>
      </c>
      <c r="N20" s="69">
        <f>G20+'Jun-22'!N17</f>
        <v>0</v>
      </c>
      <c r="O20" s="69">
        <f>H20+'Jun-22'!O17</f>
        <v>1753</v>
      </c>
      <c r="P20" s="69">
        <f>I20+'Jun-22'!P17</f>
        <v>117191</v>
      </c>
      <c r="Q20" s="65" t="str">
        <f t="shared" si="9"/>
        <v>n/a</v>
      </c>
      <c r="R20" s="65">
        <f t="shared" si="10"/>
        <v>135.67427267541359</v>
      </c>
      <c r="S20" s="61">
        <f t="shared" si="11"/>
        <v>1.0444402727171882</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5">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5">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127</v>
      </c>
      <c r="U28" s="71">
        <v>37</v>
      </c>
      <c r="V28" s="79">
        <f>282+81</f>
        <v>363</v>
      </c>
    </row>
    <row r="29" spans="1:38" ht="15">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3490047</v>
      </c>
      <c r="N31" s="48">
        <f t="shared" si="26"/>
        <v>166584</v>
      </c>
      <c r="O31" s="48">
        <f t="shared" si="26"/>
        <v>1284596</v>
      </c>
      <c r="P31" s="48">
        <f t="shared" si="26"/>
        <v>5144226</v>
      </c>
      <c r="Q31" s="68">
        <f t="shared" si="22"/>
        <v>19.950673534072902</v>
      </c>
      <c r="R31" s="68">
        <f t="shared" si="23"/>
        <v>1.7168440505808831</v>
      </c>
      <c r="S31" s="64">
        <f t="shared" si="24"/>
        <v>-0.32156032802602375</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5">
      <c r="A34" s="10"/>
      <c r="B34" s="11"/>
      <c r="C34" s="87" t="s">
        <v>63</v>
      </c>
      <c r="D34" s="25"/>
      <c r="E34" s="25"/>
      <c r="F34" s="25"/>
      <c r="G34" s="25"/>
      <c r="H34" s="25"/>
      <c r="I34" s="25"/>
      <c r="J34" s="25"/>
      <c r="K34" s="25"/>
      <c r="L34" s="25"/>
      <c r="M34" s="25"/>
      <c r="N34" s="25"/>
      <c r="O34" s="25"/>
      <c r="P34" s="25"/>
      <c r="Q34" s="25"/>
      <c r="R34" s="25"/>
      <c r="S34" s="25"/>
      <c r="T34" s="25"/>
      <c r="U34" s="25"/>
      <c r="V34" s="25"/>
    </row>
    <row r="35" spans="1:22" ht="15">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17" t="str">
        <f>F9</f>
        <v>July</v>
      </c>
      <c r="G36" s="117"/>
      <c r="H36" s="117"/>
      <c r="I36" s="117"/>
      <c r="J36" s="117"/>
      <c r="K36" s="117"/>
      <c r="L36" s="118"/>
      <c r="M36" s="119" t="s">
        <v>61</v>
      </c>
      <c r="N36" s="117"/>
      <c r="O36" s="117"/>
      <c r="P36" s="117"/>
      <c r="Q36" s="117"/>
      <c r="R36" s="117"/>
      <c r="S36" s="118"/>
      <c r="T36" s="119" t="s">
        <v>58</v>
      </c>
      <c r="U36" s="117"/>
      <c r="V36" s="120"/>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15"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238118</v>
      </c>
      <c r="N47" s="83">
        <f>+N20-'Mar-22'!N17</f>
        <v>0</v>
      </c>
      <c r="O47" s="83">
        <f>+O20-'Mar-22'!O17</f>
        <v>111</v>
      </c>
      <c r="P47" s="83">
        <f>+P20-'Mar-22'!P17</f>
        <v>112053</v>
      </c>
      <c r="Q47" s="65" t="str">
        <f>IFERROR(M47/N47-1,"n/a")</f>
        <v>n/a</v>
      </c>
      <c r="R47" s="65">
        <f>IFERROR(M47/O47-1,"n/a")</f>
        <v>2144.2072072072074</v>
      </c>
      <c r="S47" s="61">
        <f t="shared" si="42"/>
        <v>1.1250479683721095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65"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65"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2622342</v>
      </c>
      <c r="N58" s="48">
        <f t="shared" si="68"/>
        <v>156481</v>
      </c>
      <c r="O58" s="48">
        <f t="shared" si="68"/>
        <v>8405</v>
      </c>
      <c r="P58" s="48">
        <f t="shared" ref="P58" si="69">P41+P44+P47+P50+P53+P56</f>
        <v>3353700</v>
      </c>
      <c r="Q58" s="68">
        <f>IFERROR(M58/N58-1,"n/a")</f>
        <v>15.758213457224837</v>
      </c>
      <c r="R58" s="68">
        <f>IFERROR(M58/O58-1,"n/a")</f>
        <v>310.99785841760854</v>
      </c>
      <c r="S58" s="64">
        <f t="shared" si="61"/>
        <v>-0.21807496198228826</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85" zoomScaleNormal="85" workbookViewId="0"/>
  </sheetViews>
  <sheetFormatPr defaultColWidth="0" defaultRowHeight="0"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570312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50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s="21" customFormat="1" ht="15">
      <c r="A6" s="10"/>
      <c r="B6"/>
      <c r="C6" s="28" t="s">
        <v>7</v>
      </c>
      <c r="D6" s="29"/>
      <c r="E6" s="29"/>
      <c r="F6" s="117" t="s">
        <v>51</v>
      </c>
      <c r="G6" s="117"/>
      <c r="H6" s="117"/>
      <c r="I6" s="117"/>
      <c r="J6" s="117"/>
      <c r="K6" s="117"/>
      <c r="L6" s="118"/>
      <c r="M6" s="119" t="s">
        <v>52</v>
      </c>
      <c r="N6" s="117"/>
      <c r="O6" s="117"/>
      <c r="P6" s="117"/>
      <c r="Q6" s="117"/>
      <c r="R6" s="117"/>
      <c r="S6" s="118"/>
      <c r="T6" s="119" t="s">
        <v>9</v>
      </c>
      <c r="U6" s="117"/>
      <c r="V6" s="117"/>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5">
      <c r="A9" s="10"/>
      <c r="B9" s="13"/>
      <c r="C9" s="32" t="s">
        <v>14</v>
      </c>
      <c r="D9" s="27"/>
      <c r="E9" s="33"/>
      <c r="F9" s="27"/>
      <c r="G9" s="27"/>
      <c r="H9" s="27"/>
      <c r="I9" s="27"/>
      <c r="J9" s="27"/>
      <c r="K9" s="27"/>
      <c r="L9" s="33"/>
      <c r="M9" s="27"/>
      <c r="N9" s="27"/>
      <c r="O9" s="27"/>
      <c r="P9" s="27"/>
      <c r="Q9" s="27"/>
      <c r="R9" s="27"/>
      <c r="S9" s="33"/>
      <c r="T9" s="27"/>
      <c r="U9" s="27"/>
      <c r="V9" s="27"/>
    </row>
    <row r="10" spans="1:38" ht="15">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5">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5">
      <c r="A12" s="10"/>
      <c r="B12" s="13"/>
      <c r="C12" s="32" t="s">
        <v>74</v>
      </c>
      <c r="D12" s="27"/>
      <c r="E12" s="33"/>
      <c r="F12" s="27"/>
      <c r="G12" s="27"/>
      <c r="H12" s="27"/>
      <c r="I12" s="27"/>
      <c r="J12" s="65"/>
      <c r="K12" s="65"/>
      <c r="L12" s="62"/>
      <c r="M12" s="44"/>
      <c r="N12" s="44"/>
      <c r="O12" s="44"/>
      <c r="P12" s="44"/>
      <c r="Q12" s="65"/>
      <c r="R12" s="66"/>
      <c r="S12" s="62"/>
      <c r="T12" s="44"/>
      <c r="U12" s="45"/>
      <c r="V12" s="45"/>
    </row>
    <row r="13" spans="1:38" ht="15">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5">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5">
      <c r="A15" s="10"/>
      <c r="B15" s="13"/>
      <c r="C15" s="32" t="s">
        <v>15</v>
      </c>
      <c r="D15" s="27"/>
      <c r="E15" s="33"/>
      <c r="F15" s="73"/>
      <c r="G15" s="73"/>
      <c r="H15" s="73"/>
      <c r="I15" s="73"/>
      <c r="J15" s="65"/>
      <c r="K15" s="65"/>
      <c r="L15" s="61"/>
      <c r="M15" s="44"/>
      <c r="N15" s="44"/>
      <c r="O15" s="44"/>
      <c r="P15" s="44"/>
      <c r="Q15" s="65"/>
      <c r="R15" s="65"/>
      <c r="S15" s="61"/>
      <c r="T15" s="44"/>
      <c r="U15" s="45"/>
      <c r="V15" s="45"/>
    </row>
    <row r="16" spans="1:38" ht="15">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5">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158400</v>
      </c>
      <c r="N17" s="69">
        <f>G17+'May-22'!N17</f>
        <v>0</v>
      </c>
      <c r="O17" s="69">
        <f>H17+'May-22'!O17</f>
        <v>1642</v>
      </c>
      <c r="P17" s="69">
        <f>I17+'May-22'!P17</f>
        <v>76540</v>
      </c>
      <c r="Q17" s="65" t="str">
        <f t="shared" si="9"/>
        <v>n/a</v>
      </c>
      <c r="R17" s="65">
        <f t="shared" si="10"/>
        <v>95.467722289890375</v>
      </c>
      <c r="S17" s="61">
        <f t="shared" si="11"/>
        <v>1.069506140580089</v>
      </c>
      <c r="T17" s="69">
        <v>8611</v>
      </c>
      <c r="U17" s="71">
        <v>1753</v>
      </c>
      <c r="V17" s="71">
        <v>254421</v>
      </c>
    </row>
    <row r="18" spans="1:38" ht="15">
      <c r="A18" s="10"/>
      <c r="B18" s="13"/>
      <c r="C18" s="32" t="s">
        <v>10</v>
      </c>
      <c r="D18" s="27"/>
      <c r="E18" s="35"/>
      <c r="F18" s="73"/>
      <c r="G18" s="73"/>
      <c r="H18" s="73"/>
      <c r="I18" s="73"/>
      <c r="J18" s="65"/>
      <c r="K18" s="65"/>
      <c r="L18" s="61"/>
      <c r="M18" s="44"/>
      <c r="N18" s="44"/>
      <c r="O18" s="44"/>
      <c r="P18" s="44"/>
      <c r="Q18" s="65"/>
      <c r="R18" s="65"/>
      <c r="S18" s="61"/>
      <c r="T18" s="44"/>
      <c r="U18" s="45"/>
      <c r="V18" s="45"/>
    </row>
    <row r="19" spans="1:38" ht="15">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5">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5">
      <c r="A21" s="10"/>
      <c r="B21" s="13"/>
      <c r="C21" s="32" t="s">
        <v>16</v>
      </c>
      <c r="D21" s="27"/>
      <c r="E21" s="33"/>
      <c r="F21" s="73"/>
      <c r="G21" s="73"/>
      <c r="H21" s="73"/>
      <c r="I21" s="73"/>
      <c r="J21" s="65"/>
      <c r="K21" s="65"/>
      <c r="L21" s="61"/>
      <c r="M21" s="44"/>
      <c r="N21" s="44"/>
      <c r="O21" s="44"/>
      <c r="P21" s="44"/>
      <c r="Q21" s="65"/>
      <c r="R21" s="65"/>
      <c r="S21" s="61"/>
      <c r="T21" s="44"/>
      <c r="U21" s="45"/>
      <c r="V21" s="45"/>
    </row>
    <row r="22" spans="1:38" ht="15">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5">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5">
      <c r="A24" s="10"/>
      <c r="B24" s="13"/>
      <c r="C24" s="32" t="s">
        <v>17</v>
      </c>
      <c r="D24" s="27"/>
      <c r="E24" s="33"/>
      <c r="F24" s="73"/>
      <c r="G24" s="73"/>
      <c r="H24" s="73"/>
      <c r="I24" s="73"/>
      <c r="J24" s="65"/>
      <c r="K24" s="65"/>
      <c r="L24" s="61"/>
      <c r="M24" s="44"/>
      <c r="N24" s="44"/>
      <c r="O24" s="44"/>
      <c r="P24" s="44"/>
      <c r="Q24" s="65"/>
      <c r="R24" s="65"/>
      <c r="S24" s="61"/>
      <c r="T24" s="44"/>
      <c r="U24" s="45"/>
      <c r="V24" s="45"/>
    </row>
    <row r="25" spans="1:38" ht="15">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127</v>
      </c>
      <c r="U25" s="71">
        <v>37</v>
      </c>
      <c r="V25" s="71">
        <f>282+81</f>
        <v>363</v>
      </c>
    </row>
    <row r="26" spans="1:38" ht="15">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7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1062</v>
      </c>
      <c r="U27" s="47">
        <f t="shared" si="27"/>
        <v>667</v>
      </c>
      <c r="V27" s="47">
        <f t="shared" si="27"/>
        <v>3344</v>
      </c>
    </row>
    <row r="28" spans="1:38" s="23" customFormat="1" ht="16.5"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2632808</v>
      </c>
      <c r="N28" s="48">
        <f t="shared" si="26"/>
        <v>74087</v>
      </c>
      <c r="O28" s="48">
        <f t="shared" si="26"/>
        <v>1278404</v>
      </c>
      <c r="P28" s="48">
        <f t="shared" si="26"/>
        <v>4275202</v>
      </c>
      <c r="Q28" s="68">
        <f t="shared" si="22"/>
        <v>34.536706844655605</v>
      </c>
      <c r="R28" s="68">
        <f t="shared" si="23"/>
        <v>1.0594491256285181</v>
      </c>
      <c r="S28" s="64">
        <f t="shared" si="24"/>
        <v>-0.38416757851441874</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t="15" hidden="1">
      <c r="A30" s="10"/>
      <c r="B30" s="10"/>
      <c r="C30" s="10"/>
      <c r="D30" s="10"/>
      <c r="E30" s="10"/>
      <c r="F30" s="10"/>
      <c r="G30" s="42"/>
      <c r="H30" s="42"/>
      <c r="I30" s="42"/>
      <c r="J30" s="42"/>
      <c r="K30" s="10"/>
      <c r="L30" s="10"/>
      <c r="M30" s="10"/>
      <c r="N30" s="10"/>
      <c r="O30" s="10"/>
      <c r="P30" s="10"/>
      <c r="Q30" s="10"/>
      <c r="R30" s="10"/>
      <c r="S30" s="10"/>
      <c r="T30" s="10"/>
      <c r="U30" s="10"/>
      <c r="V30" s="10"/>
    </row>
    <row r="31" spans="1:38" ht="15" hidden="1">
      <c r="A31" s="10"/>
      <c r="B31" s="10"/>
      <c r="C31" s="10"/>
      <c r="D31" s="10"/>
      <c r="E31" s="10"/>
      <c r="F31" s="10"/>
      <c r="G31" s="42"/>
      <c r="H31" s="42"/>
      <c r="I31" s="42"/>
      <c r="J31" s="42"/>
      <c r="K31" s="10"/>
      <c r="L31" s="10"/>
      <c r="M31" s="10"/>
      <c r="N31" s="10"/>
      <c r="O31" s="10"/>
      <c r="P31" s="10"/>
      <c r="Q31" s="10"/>
      <c r="R31" s="10"/>
      <c r="S31" s="10"/>
      <c r="T31" s="10"/>
      <c r="U31" s="10"/>
      <c r="V31" s="10"/>
    </row>
    <row r="32" spans="1:38" ht="15"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5" hidden="1">
      <c r="G33" s="42"/>
      <c r="H33" s="42"/>
      <c r="I33" s="42"/>
      <c r="J33" s="42"/>
    </row>
    <row r="34" spans="7:10" s="10" customFormat="1" ht="15" hidden="1">
      <c r="G34" s="42"/>
      <c r="H34" s="42"/>
      <c r="I34" s="42"/>
      <c r="J34" s="42"/>
    </row>
    <row r="35" spans="7:10" s="10" customFormat="1" ht="15" hidden="1">
      <c r="G35" s="42"/>
      <c r="H35" s="42"/>
      <c r="I35" s="42"/>
      <c r="J35" s="42"/>
    </row>
    <row r="36" spans="7:10" s="10" customFormat="1" ht="15" hidden="1">
      <c r="G36" s="42"/>
      <c r="H36" s="42"/>
      <c r="I36" s="42"/>
      <c r="J36" s="42"/>
    </row>
    <row r="37" spans="7:10" s="10" customFormat="1" ht="15" hidden="1">
      <c r="G37" s="42"/>
      <c r="H37" s="42"/>
      <c r="I37" s="42"/>
      <c r="J37" s="42"/>
    </row>
    <row r="38" spans="7:10" s="10" customFormat="1" ht="15" hidden="1">
      <c r="G38" s="42"/>
      <c r="H38" s="42"/>
      <c r="I38" s="42"/>
      <c r="J38" s="42"/>
    </row>
    <row r="39" spans="7:10" s="10" customFormat="1" ht="15" hidden="1">
      <c r="G39" s="42"/>
      <c r="H39" s="42"/>
      <c r="I39" s="42"/>
      <c r="J39" s="42"/>
    </row>
    <row r="40" spans="7:10" s="10" customFormat="1" ht="15" hidden="1">
      <c r="G40" s="42"/>
      <c r="H40" s="42"/>
      <c r="I40" s="42"/>
      <c r="J40" s="42"/>
    </row>
    <row r="41" spans="7:10" s="10" customFormat="1" ht="15" hidden="1">
      <c r="G41" s="42"/>
      <c r="H41" s="42"/>
      <c r="I41" s="42"/>
      <c r="J41" s="42"/>
    </row>
    <row r="42" spans="7:10" s="10" customFormat="1" ht="15" hidden="1">
      <c r="G42" s="42"/>
      <c r="H42" s="42"/>
      <c r="I42" s="42"/>
      <c r="J42" s="42"/>
    </row>
    <row r="43" spans="7:10" s="10" customFormat="1" ht="15" hidden="1">
      <c r="G43" s="42"/>
      <c r="H43" s="42"/>
      <c r="I43" s="42"/>
      <c r="J43" s="42"/>
    </row>
    <row r="44" spans="7:10" s="10" customFormat="1" ht="15" hidden="1">
      <c r="G44" s="42"/>
      <c r="H44" s="42"/>
      <c r="I44" s="42"/>
      <c r="J44" s="42"/>
    </row>
    <row r="45" spans="7:10" s="10" customFormat="1" ht="15" hidden="1">
      <c r="G45" s="42"/>
      <c r="H45" s="42"/>
      <c r="I45" s="42"/>
      <c r="J45" s="42"/>
    </row>
    <row r="46" spans="7:10" s="10" customFormat="1" ht="15" hidden="1">
      <c r="G46" s="42"/>
      <c r="H46" s="42"/>
      <c r="I46" s="42"/>
      <c r="J46" s="42"/>
    </row>
    <row r="47" spans="7:10" s="10" customFormat="1" ht="15" hidden="1">
      <c r="G47" s="42"/>
      <c r="H47" s="42"/>
      <c r="I47" s="42"/>
      <c r="J47" s="42"/>
    </row>
    <row r="48" spans="7:10" s="10" customFormat="1" ht="1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79" workbookViewId="0">
      <selection activeCell="F17" sqref="F17"/>
    </sheetView>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48</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7" t="s">
        <v>47</v>
      </c>
      <c r="G6" s="117"/>
      <c r="H6" s="117"/>
      <c r="I6" s="117"/>
      <c r="J6" s="117"/>
      <c r="K6" s="117"/>
      <c r="L6" s="118"/>
      <c r="M6" s="119" t="s">
        <v>49</v>
      </c>
      <c r="N6" s="117"/>
      <c r="O6" s="117"/>
      <c r="P6" s="117"/>
      <c r="Q6" s="117"/>
      <c r="R6" s="117"/>
      <c r="S6" s="118"/>
      <c r="T6" s="119" t="s">
        <v>9</v>
      </c>
      <c r="U6" s="117"/>
      <c r="V6" s="117"/>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c r="A17" s="10"/>
      <c r="B17" s="13"/>
      <c r="C17" s="34"/>
      <c r="D17" s="27" t="s">
        <v>11</v>
      </c>
      <c r="E17" s="33"/>
      <c r="F17" s="69">
        <v>59794</v>
      </c>
      <c r="G17" s="69">
        <v>0</v>
      </c>
      <c r="H17" s="69">
        <v>0</v>
      </c>
      <c r="I17" s="69">
        <v>23341</v>
      </c>
      <c r="J17" s="65" t="str">
        <f t="shared" si="0"/>
        <v>n/a</v>
      </c>
      <c r="K17" s="65" t="str">
        <f t="shared" si="8"/>
        <v>n/a</v>
      </c>
      <c r="L17" s="61">
        <f t="shared" ref="L17:L28" si="12">IFERROR(F17/I17-1,"n/a")</f>
        <v>1.5617582794224756</v>
      </c>
      <c r="M17" s="69">
        <f>F17+'Apr-22'!M17</f>
        <v>82090</v>
      </c>
      <c r="N17" s="69">
        <f>G17+'Apr-22'!N17</f>
        <v>0</v>
      </c>
      <c r="O17" s="69">
        <f>H17+'Apr-22'!O17</f>
        <v>1642</v>
      </c>
      <c r="P17" s="69">
        <f>I17+'Apr-22'!P17</f>
        <v>42732</v>
      </c>
      <c r="Q17" s="65" t="str">
        <f t="shared" si="9"/>
        <v>n/a</v>
      </c>
      <c r="R17" s="65">
        <f t="shared" si="10"/>
        <v>48.993909866017056</v>
      </c>
      <c r="S17" s="61">
        <f t="shared" si="11"/>
        <v>0.92104277824581104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127</v>
      </c>
      <c r="U25" s="71">
        <v>37</v>
      </c>
      <c r="V25" s="71">
        <f>282+81</f>
        <v>363</v>
      </c>
    </row>
    <row r="26" spans="1:38">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ht="15.75"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579587</v>
      </c>
      <c r="G28" s="48">
        <f t="shared" si="25"/>
        <v>24481</v>
      </c>
      <c r="H28" s="48">
        <f t="shared" si="25"/>
        <v>0</v>
      </c>
      <c r="I28" s="48">
        <f t="shared" si="25"/>
        <v>841049</v>
      </c>
      <c r="J28" s="68">
        <f t="shared" si="0"/>
        <v>22.674972427596913</v>
      </c>
      <c r="K28" s="68" t="str">
        <f t="shared" si="21"/>
        <v>n/a</v>
      </c>
      <c r="L28" s="64">
        <f t="shared" si="12"/>
        <v>-0.31087606072892304</v>
      </c>
      <c r="M28" s="48">
        <f t="shared" si="26"/>
        <v>1955070</v>
      </c>
      <c r="N28" s="48">
        <f t="shared" si="26"/>
        <v>40586</v>
      </c>
      <c r="O28" s="48">
        <f t="shared" si="26"/>
        <v>1276191</v>
      </c>
      <c r="P28" s="48">
        <f t="shared" si="26"/>
        <v>3422813</v>
      </c>
      <c r="Q28" s="68">
        <f t="shared" si="22"/>
        <v>47.171044202434338</v>
      </c>
      <c r="R28" s="68">
        <f t="shared" si="23"/>
        <v>0.53195720703248961</v>
      </c>
      <c r="S28" s="64">
        <f t="shared" si="24"/>
        <v>-0.42881191581310463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44</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7" t="s">
        <v>45</v>
      </c>
      <c r="G6" s="117"/>
      <c r="H6" s="117"/>
      <c r="I6" s="117"/>
      <c r="J6" s="117"/>
      <c r="K6" s="117"/>
      <c r="L6" s="118"/>
      <c r="M6" s="119" t="s">
        <v>46</v>
      </c>
      <c r="N6" s="117"/>
      <c r="O6" s="117"/>
      <c r="P6" s="117"/>
      <c r="Q6" s="117"/>
      <c r="R6" s="117"/>
      <c r="S6" s="118"/>
      <c r="T6" s="119" t="s">
        <v>9</v>
      </c>
      <c r="U6" s="117"/>
      <c r="V6" s="117"/>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127</v>
      </c>
      <c r="U25" s="71">
        <v>37</v>
      </c>
      <c r="V25" s="71">
        <f>282+81</f>
        <v>363</v>
      </c>
    </row>
    <row r="26" spans="1:38">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ht="15.75"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42</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7" t="s">
        <v>41</v>
      </c>
      <c r="G6" s="117"/>
      <c r="H6" s="117"/>
      <c r="I6" s="117"/>
      <c r="J6" s="117"/>
      <c r="K6" s="117"/>
      <c r="L6" s="118"/>
      <c r="M6" s="119" t="s">
        <v>43</v>
      </c>
      <c r="N6" s="117"/>
      <c r="O6" s="117"/>
      <c r="P6" s="117"/>
      <c r="Q6" s="117"/>
      <c r="R6" s="117"/>
      <c r="S6" s="118"/>
      <c r="T6" s="119" t="s">
        <v>9</v>
      </c>
      <c r="U6" s="117"/>
      <c r="V6" s="117"/>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127</v>
      </c>
      <c r="U25" s="71">
        <v>37</v>
      </c>
      <c r="V25" s="71">
        <f>282+81</f>
        <v>363</v>
      </c>
    </row>
    <row r="26" spans="1:38">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ht="15.75"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1.28515625" bestFit="1" customWidth="1"/>
    <col min="9" max="9" width="10.57031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40</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7" t="s">
        <v>39</v>
      </c>
      <c r="G6" s="117"/>
      <c r="H6" s="117"/>
      <c r="I6" s="117"/>
      <c r="J6" s="117"/>
      <c r="K6" s="117"/>
      <c r="L6" s="118"/>
      <c r="M6" s="119" t="s">
        <v>38</v>
      </c>
      <c r="N6" s="117"/>
      <c r="O6" s="117"/>
      <c r="P6" s="117"/>
      <c r="Q6" s="117"/>
      <c r="R6" s="117"/>
      <c r="S6" s="118"/>
      <c r="T6" s="119" t="s">
        <v>9</v>
      </c>
      <c r="U6" s="117"/>
      <c r="V6" s="117"/>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1</v>
      </c>
      <c r="G25" s="69">
        <v>1</v>
      </c>
      <c r="H25" s="69">
        <v>1</v>
      </c>
      <c r="I25" s="69">
        <v>2</v>
      </c>
      <c r="J25" s="65">
        <f t="shared" si="0"/>
        <v>0</v>
      </c>
      <c r="K25" s="65">
        <f t="shared" ref="K25:K28" si="21">IFERROR(F25/H25-1,"n/a")</f>
        <v>0</v>
      </c>
      <c r="L25" s="61">
        <f t="shared" si="12"/>
        <v>-0.5</v>
      </c>
      <c r="M25" s="69">
        <v>2</v>
      </c>
      <c r="N25" s="69">
        <v>2</v>
      </c>
      <c r="O25" s="69">
        <v>1</v>
      </c>
      <c r="P25" s="69">
        <v>3</v>
      </c>
      <c r="Q25" s="65">
        <f t="shared" ref="Q25:Q28" si="22">IFERROR(M25/N25-1,"n/a")</f>
        <v>0</v>
      </c>
      <c r="R25" s="65">
        <f t="shared" ref="R25:R28" si="23">IFERROR(M25/O25-1,"n/a")</f>
        <v>1</v>
      </c>
      <c r="S25" s="61">
        <f t="shared" ref="S25:S28" si="24">IFERROR(M25/P25-1,"n/a")</f>
        <v>-0.33333333333333337</v>
      </c>
      <c r="T25" s="69">
        <v>127</v>
      </c>
      <c r="U25" s="71">
        <v>37</v>
      </c>
      <c r="V25" s="71">
        <f>282+81</f>
        <v>363</v>
      </c>
    </row>
    <row r="26" spans="1:38">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ht="15.75"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371</v>
      </c>
      <c r="N27" s="47">
        <f t="shared" si="26"/>
        <v>7</v>
      </c>
      <c r="O27" s="47">
        <f t="shared" si="26"/>
        <v>405</v>
      </c>
      <c r="P27" s="47">
        <f t="shared" si="26"/>
        <v>406</v>
      </c>
      <c r="Q27" s="67">
        <f t="shared" si="22"/>
        <v>52</v>
      </c>
      <c r="R27" s="67">
        <f t="shared" si="23"/>
        <v>-8.395061728395059E-2</v>
      </c>
      <c r="S27" s="63">
        <f t="shared" si="24"/>
        <v>-8.6206896551724088E-2</v>
      </c>
      <c r="T27" s="47">
        <f t="shared" ref="T27:V28" si="27">T10+T13+T16+T19+T22+T25</f>
        <v>1062</v>
      </c>
      <c r="U27" s="47">
        <f t="shared" si="27"/>
        <v>667</v>
      </c>
      <c r="V27" s="47">
        <f t="shared" si="27"/>
        <v>3344</v>
      </c>
    </row>
    <row r="28" spans="1:38" s="23" customFormat="1" ht="16.5"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F10" sqref="F10:I26"/>
    </sheetView>
  </sheetViews>
  <sheetFormatPr defaultColWidth="0" defaultRowHeight="15" customHeight="1" zeroHeight="1"/>
  <cols>
    <col min="1" max="3" width="2.5703125" customWidth="1"/>
    <col min="4" max="4" width="9.140625" customWidth="1"/>
    <col min="5" max="6" width="15.42578125" customWidth="1"/>
    <col min="7" max="7" width="11.140625" bestFit="1" customWidth="1"/>
    <col min="8" max="8" width="10.85546875" bestFit="1" customWidth="1"/>
    <col min="9" max="9" width="11.140625" bestFit="1" customWidth="1"/>
    <col min="10" max="10" width="8.5703125" customWidth="1"/>
    <col min="11" max="12" width="9.140625" customWidth="1"/>
    <col min="13" max="13" width="10.85546875" bestFit="1" customWidth="1"/>
    <col min="14" max="14" width="10.28515625" bestFit="1" customWidth="1"/>
    <col min="15" max="15" width="12.28515625" bestFit="1" customWidth="1"/>
    <col min="16" max="16" width="12.5703125" bestFit="1" customWidth="1"/>
    <col min="17" max="17" width="8.7109375" customWidth="1"/>
    <col min="18" max="19" width="9.140625" customWidth="1"/>
    <col min="20" max="20" width="12.140625" bestFit="1" customWidth="1"/>
    <col min="21" max="21" width="11.85546875" bestFit="1" customWidth="1"/>
    <col min="22" max="22" width="12.42578125" customWidth="1"/>
    <col min="23" max="23" width="3.28515625" style="10" customWidth="1"/>
    <col min="24" max="38" width="0" style="10" hidden="1" customWidth="1"/>
    <col min="39" max="16384" width="9.140625" hidden="1"/>
  </cols>
  <sheetData>
    <row r="1" spans="1:38">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c r="A3" s="10"/>
      <c r="B3" s="11"/>
      <c r="C3" s="25"/>
      <c r="D3" s="25"/>
      <c r="E3" s="25"/>
      <c r="F3" s="25"/>
      <c r="G3" s="25"/>
      <c r="H3" s="25"/>
      <c r="I3" s="25"/>
      <c r="J3" s="25"/>
      <c r="K3" s="25"/>
      <c r="L3" s="25"/>
      <c r="M3" s="25"/>
      <c r="N3" s="25"/>
      <c r="O3" s="25"/>
      <c r="P3" s="25"/>
      <c r="Q3" s="25"/>
      <c r="R3" s="25"/>
      <c r="S3" s="25"/>
      <c r="T3" s="25"/>
      <c r="U3" s="25"/>
      <c r="V3" s="26"/>
    </row>
    <row r="4" spans="1:38" ht="15.75">
      <c r="A4" s="10"/>
      <c r="B4" s="12" t="s">
        <v>7</v>
      </c>
      <c r="C4" s="27"/>
      <c r="D4" s="25"/>
      <c r="E4" s="59" t="s">
        <v>37</v>
      </c>
      <c r="F4" s="25"/>
      <c r="G4" s="25"/>
      <c r="H4" s="25"/>
      <c r="I4" s="25"/>
      <c r="J4" s="25"/>
      <c r="K4" s="25"/>
      <c r="L4" s="25"/>
      <c r="M4" s="25"/>
      <c r="N4" s="25"/>
      <c r="O4" s="25"/>
      <c r="P4" s="25"/>
      <c r="Q4" s="25"/>
      <c r="R4" s="25"/>
      <c r="S4" s="25"/>
      <c r="T4" s="25"/>
      <c r="U4" s="25"/>
      <c r="V4" s="25"/>
    </row>
    <row r="5" spans="1:38">
      <c r="A5" s="10"/>
      <c r="B5" s="11"/>
      <c r="C5" s="25"/>
      <c r="D5" s="25"/>
      <c r="E5" s="25"/>
      <c r="F5" s="25"/>
      <c r="G5" s="25"/>
      <c r="H5" s="25"/>
      <c r="I5" s="25"/>
      <c r="J5" s="25"/>
      <c r="K5" s="25"/>
      <c r="L5" s="25"/>
      <c r="M5" s="25"/>
      <c r="N5" s="25"/>
      <c r="O5" s="25"/>
      <c r="P5" s="25"/>
      <c r="Q5" s="25"/>
      <c r="R5" s="25"/>
      <c r="S5" s="25"/>
      <c r="T5" s="25"/>
      <c r="U5" s="25"/>
      <c r="V5" s="25"/>
    </row>
    <row r="6" spans="1:38" s="21" customFormat="1">
      <c r="A6" s="10"/>
      <c r="B6"/>
      <c r="C6" s="28" t="s">
        <v>7</v>
      </c>
      <c r="D6" s="29"/>
      <c r="E6" s="29"/>
      <c r="F6" s="117" t="s">
        <v>33</v>
      </c>
      <c r="G6" s="117"/>
      <c r="H6" s="117"/>
      <c r="I6" s="117"/>
      <c r="J6" s="117"/>
      <c r="K6" s="117"/>
      <c r="L6" s="118"/>
      <c r="M6" s="119" t="s">
        <v>33</v>
      </c>
      <c r="N6" s="117"/>
      <c r="O6" s="117"/>
      <c r="P6" s="117"/>
      <c r="Q6" s="117"/>
      <c r="R6" s="117"/>
      <c r="S6" s="118"/>
      <c r="T6" s="119" t="s">
        <v>9</v>
      </c>
      <c r="U6" s="117"/>
      <c r="V6" s="117"/>
      <c r="W6" s="10"/>
      <c r="X6" s="20"/>
      <c r="Y6" s="20"/>
      <c r="Z6" s="20"/>
      <c r="AA6" s="20"/>
      <c r="AB6" s="20"/>
      <c r="AC6" s="20"/>
      <c r="AD6" s="20"/>
      <c r="AE6" s="20"/>
      <c r="AF6" s="20"/>
      <c r="AG6" s="20"/>
      <c r="AH6" s="20"/>
      <c r="AI6" s="20"/>
      <c r="AJ6" s="20"/>
      <c r="AK6" s="20"/>
      <c r="AL6" s="20"/>
    </row>
    <row r="7" spans="1:38" ht="15.75">
      <c r="A7" s="10"/>
      <c r="B7" s="19"/>
      <c r="C7" s="30"/>
      <c r="D7" s="31"/>
      <c r="E7" s="31"/>
      <c r="F7" s="30"/>
      <c r="G7" s="31"/>
      <c r="H7" s="31"/>
      <c r="I7" s="31"/>
      <c r="J7" s="31"/>
      <c r="K7" s="31"/>
      <c r="L7" s="57"/>
      <c r="M7" s="31"/>
      <c r="N7" s="31"/>
      <c r="O7" s="31"/>
      <c r="P7" s="31"/>
      <c r="Q7" s="31"/>
      <c r="R7" s="31"/>
      <c r="S7" s="57"/>
      <c r="T7" s="31"/>
      <c r="U7" s="31"/>
      <c r="V7" s="31"/>
    </row>
    <row r="8" spans="1:38" s="55" customFormat="1" ht="22.5">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c r="A9" s="10"/>
      <c r="B9" s="13"/>
      <c r="C9" s="32" t="s">
        <v>14</v>
      </c>
      <c r="D9" s="27"/>
      <c r="E9" s="33"/>
      <c r="F9" s="27"/>
      <c r="G9" s="27"/>
      <c r="H9" s="27"/>
      <c r="I9" s="27"/>
      <c r="J9" s="27"/>
      <c r="K9" s="27"/>
      <c r="L9" s="33"/>
      <c r="M9" s="27"/>
      <c r="N9" s="27"/>
      <c r="O9" s="27"/>
      <c r="P9" s="27"/>
      <c r="Q9" s="27"/>
      <c r="R9" s="27"/>
      <c r="S9" s="33"/>
      <c r="T9" s="27"/>
      <c r="U9" s="27"/>
      <c r="V9" s="27"/>
    </row>
    <row r="10" spans="1:38">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c r="A12" s="10"/>
      <c r="B12" s="13"/>
      <c r="C12" s="32" t="s">
        <v>74</v>
      </c>
      <c r="D12" s="27"/>
      <c r="E12" s="33"/>
      <c r="F12" s="46"/>
      <c r="G12" s="46"/>
      <c r="H12" s="46"/>
      <c r="I12" s="46"/>
      <c r="J12" s="65"/>
      <c r="K12" s="65"/>
      <c r="L12" s="62"/>
      <c r="M12" s="44"/>
      <c r="N12" s="44"/>
      <c r="O12" s="44"/>
      <c r="P12" s="44"/>
      <c r="Q12" s="65"/>
      <c r="R12" s="66"/>
      <c r="S12" s="62"/>
      <c r="T12" s="44"/>
      <c r="U12" s="45"/>
      <c r="V12" s="45"/>
    </row>
    <row r="13" spans="1:38">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c r="A15" s="10"/>
      <c r="B15" s="13"/>
      <c r="C15" s="32" t="s">
        <v>15</v>
      </c>
      <c r="D15" s="27"/>
      <c r="E15" s="33"/>
      <c r="F15" s="44"/>
      <c r="G15" s="44"/>
      <c r="H15" s="44"/>
      <c r="I15" s="44"/>
      <c r="J15" s="65"/>
      <c r="K15" s="65"/>
      <c r="L15" s="61"/>
      <c r="M15" s="44"/>
      <c r="N15" s="44"/>
      <c r="O15" s="44"/>
      <c r="P15" s="44"/>
      <c r="Q15" s="65"/>
      <c r="R15" s="65"/>
      <c r="S15" s="61"/>
      <c r="T15" s="44"/>
      <c r="U15" s="45"/>
      <c r="V15" s="45"/>
    </row>
    <row r="16" spans="1:38">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c r="A18" s="10"/>
      <c r="B18" s="13"/>
      <c r="C18" s="32" t="s">
        <v>10</v>
      </c>
      <c r="D18" s="27"/>
      <c r="E18" s="35"/>
      <c r="F18" s="44"/>
      <c r="G18" s="44"/>
      <c r="H18" s="44"/>
      <c r="I18" s="44"/>
      <c r="J18" s="65"/>
      <c r="K18" s="65"/>
      <c r="L18" s="61"/>
      <c r="M18" s="44"/>
      <c r="N18" s="44"/>
      <c r="O18" s="44"/>
      <c r="P18" s="44"/>
      <c r="Q18" s="65"/>
      <c r="R18" s="65"/>
      <c r="S18" s="61"/>
      <c r="T18" s="44"/>
      <c r="U18" s="45"/>
      <c r="V18" s="45"/>
    </row>
    <row r="19" spans="1:38">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c r="A21" s="10"/>
      <c r="B21" s="13"/>
      <c r="C21" s="32" t="s">
        <v>16</v>
      </c>
      <c r="D21" s="27"/>
      <c r="E21" s="33"/>
      <c r="F21" s="44"/>
      <c r="G21" s="44"/>
      <c r="H21" s="44"/>
      <c r="I21" s="44"/>
      <c r="J21" s="65"/>
      <c r="K21" s="65"/>
      <c r="L21" s="61"/>
      <c r="M21" s="44"/>
      <c r="N21" s="44"/>
      <c r="O21" s="44"/>
      <c r="P21" s="44"/>
      <c r="Q21" s="65"/>
      <c r="R21" s="65"/>
      <c r="S21" s="61"/>
      <c r="T21" s="44"/>
      <c r="U21" s="45"/>
      <c r="V21" s="45"/>
    </row>
    <row r="22" spans="1:38">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c r="A24" s="10"/>
      <c r="B24" s="13"/>
      <c r="C24" s="32" t="s">
        <v>17</v>
      </c>
      <c r="D24" s="27"/>
      <c r="E24" s="33"/>
      <c r="F24" s="44"/>
      <c r="G24" s="44"/>
      <c r="H24" s="44"/>
      <c r="I24" s="44"/>
      <c r="J24" s="65"/>
      <c r="K24" s="65"/>
      <c r="L24" s="61"/>
      <c r="M24" s="44"/>
      <c r="N24" s="44"/>
      <c r="O24" s="44"/>
      <c r="P24" s="44"/>
      <c r="Q24" s="65"/>
      <c r="R24" s="65"/>
      <c r="S24" s="61"/>
      <c r="T24" s="44"/>
      <c r="U24" s="45"/>
      <c r="V24" s="45"/>
    </row>
    <row r="25" spans="1:38">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127</v>
      </c>
      <c r="U25" s="71">
        <v>37</v>
      </c>
      <c r="V25" s="71">
        <f>282+81</f>
        <v>363</v>
      </c>
    </row>
    <row r="26" spans="1:38">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ht="15.75"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1062</v>
      </c>
      <c r="U27" s="47">
        <f t="shared" si="28"/>
        <v>667</v>
      </c>
      <c r="V27" s="47">
        <f t="shared" si="28"/>
        <v>3344</v>
      </c>
    </row>
    <row r="28" spans="1:38" s="23" customFormat="1" ht="16.5"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ht="15.75" thickTop="1">
      <c r="A29" s="10"/>
      <c r="B29" s="10"/>
      <c r="C29" s="10"/>
      <c r="D29" s="10"/>
      <c r="E29" s="10"/>
      <c r="F29" s="10"/>
      <c r="G29" s="42"/>
      <c r="H29" s="42"/>
      <c r="I29" s="42"/>
      <c r="J29" s="42"/>
      <c r="K29" s="10"/>
      <c r="L29" s="10"/>
      <c r="M29" s="10"/>
      <c r="N29" s="10"/>
      <c r="O29" s="10"/>
      <c r="P29" s="10"/>
      <c r="Q29" s="10"/>
      <c r="R29" s="10"/>
      <c r="S29" s="10"/>
      <c r="T29" s="10"/>
      <c r="U29" s="10"/>
      <c r="V29" s="10"/>
    </row>
    <row r="30" spans="1:38" hidden="1">
      <c r="A30" s="10"/>
      <c r="B30" s="10"/>
      <c r="C30" s="10"/>
      <c r="D30" s="10"/>
      <c r="E30" s="10"/>
      <c r="F30" s="10"/>
      <c r="G30" s="42"/>
      <c r="H30" s="42"/>
      <c r="I30" s="42"/>
      <c r="J30" s="42"/>
      <c r="K30" s="10"/>
      <c r="L30" s="10"/>
      <c r="M30" s="10"/>
      <c r="N30" s="10"/>
      <c r="O30" s="10"/>
      <c r="P30" s="10"/>
      <c r="Q30" s="10"/>
      <c r="R30" s="10"/>
      <c r="S30" s="10"/>
      <c r="T30" s="10"/>
      <c r="U30" s="10"/>
      <c r="V30" s="10"/>
    </row>
    <row r="31" spans="1:38" hidden="1">
      <c r="A31" s="10"/>
      <c r="B31" s="10"/>
      <c r="C31" s="10"/>
      <c r="D31" s="10"/>
      <c r="E31" s="10"/>
      <c r="F31" s="10"/>
      <c r="G31" s="42"/>
      <c r="H31" s="42"/>
      <c r="I31" s="42"/>
      <c r="J31" s="42"/>
      <c r="K31" s="10"/>
      <c r="L31" s="10"/>
      <c r="M31" s="10"/>
      <c r="N31" s="10"/>
      <c r="O31" s="10"/>
      <c r="P31" s="10"/>
      <c r="Q31" s="10"/>
      <c r="R31" s="10"/>
      <c r="S31" s="10"/>
      <c r="T31" s="10"/>
      <c r="U31" s="10"/>
      <c r="V31" s="10"/>
    </row>
    <row r="32" spans="1:38"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idden="1">
      <c r="G33" s="42"/>
      <c r="H33" s="42"/>
      <c r="I33" s="42"/>
      <c r="J33" s="42"/>
    </row>
    <row r="34" spans="7:10" s="10" customFormat="1" hidden="1">
      <c r="G34" s="42"/>
      <c r="H34" s="42"/>
      <c r="I34" s="42"/>
      <c r="J34" s="42"/>
    </row>
    <row r="35" spans="7:10" s="10" customFormat="1" hidden="1">
      <c r="G35" s="42"/>
      <c r="H35" s="42"/>
      <c r="I35" s="42"/>
      <c r="J35" s="42"/>
    </row>
    <row r="36" spans="7:10" s="10" customFormat="1" hidden="1">
      <c r="G36" s="42"/>
      <c r="H36" s="42"/>
      <c r="I36" s="42"/>
      <c r="J36" s="42"/>
    </row>
    <row r="37" spans="7:10" s="10" customFormat="1" hidden="1">
      <c r="G37" s="42"/>
      <c r="H37" s="42"/>
      <c r="I37" s="42"/>
      <c r="J37" s="42"/>
    </row>
    <row r="38" spans="7:10" s="10" customFormat="1" hidden="1">
      <c r="G38" s="42"/>
      <c r="H38" s="42"/>
      <c r="I38" s="42"/>
      <c r="J38" s="42"/>
    </row>
    <row r="39" spans="7:10" s="10" customFormat="1" hidden="1">
      <c r="G39" s="42"/>
      <c r="H39" s="42"/>
      <c r="I39" s="42"/>
      <c r="J39" s="42"/>
    </row>
    <row r="40" spans="7:10" s="10" customFormat="1" hidden="1">
      <c r="G40" s="42"/>
      <c r="H40" s="42"/>
      <c r="I40" s="42"/>
      <c r="J40" s="42"/>
    </row>
    <row r="41" spans="7:10" s="10" customFormat="1" hidden="1">
      <c r="G41" s="42"/>
      <c r="H41" s="42"/>
      <c r="I41" s="42"/>
      <c r="J41" s="42"/>
    </row>
    <row r="42" spans="7:10" s="10" customFormat="1" hidden="1">
      <c r="G42" s="42"/>
      <c r="H42" s="42"/>
      <c r="I42" s="42"/>
      <c r="J42" s="42"/>
    </row>
    <row r="43" spans="7:10" s="10" customFormat="1" hidden="1">
      <c r="G43" s="42"/>
      <c r="H43" s="42"/>
      <c r="I43" s="42"/>
      <c r="J43" s="42"/>
    </row>
    <row r="44" spans="7:10" s="10" customFormat="1" hidden="1">
      <c r="G44" s="42"/>
      <c r="H44" s="42"/>
      <c r="I44" s="42"/>
      <c r="J44" s="42"/>
    </row>
    <row r="45" spans="7:10" s="10" customFormat="1" hidden="1">
      <c r="G45" s="42"/>
      <c r="H45" s="42"/>
      <c r="I45" s="42"/>
      <c r="J45" s="42"/>
    </row>
    <row r="46" spans="7:10" s="10" customFormat="1" hidden="1">
      <c r="G46" s="42"/>
      <c r="H46" s="42"/>
      <c r="I46" s="42"/>
      <c r="J46" s="42"/>
    </row>
    <row r="47" spans="7:10" s="10" customFormat="1" hidden="1">
      <c r="G47" s="42"/>
      <c r="H47" s="42"/>
      <c r="I47" s="42"/>
      <c r="J47" s="42"/>
    </row>
    <row r="48" spans="7:10" s="10" customFormat="1"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30</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9" t="s">
        <v>31</v>
      </c>
      <c r="G6" s="121"/>
      <c r="H6" s="121"/>
      <c r="I6" s="122"/>
      <c r="J6" s="123"/>
      <c r="K6" s="119" t="s">
        <v>32</v>
      </c>
      <c r="L6" s="121"/>
      <c r="M6" s="121"/>
      <c r="N6" s="122"/>
      <c r="O6" s="123"/>
      <c r="P6" s="117" t="s">
        <v>9</v>
      </c>
      <c r="Q6" s="121"/>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0</v>
      </c>
      <c r="G25" s="69">
        <f>L25-'Nov-21'!L25</f>
        <v>5</v>
      </c>
      <c r="H25" s="69">
        <f>M25-'Nov-21'!M25</f>
        <v>20</v>
      </c>
      <c r="I25" s="65">
        <f t="shared" si="0"/>
        <v>-1</v>
      </c>
      <c r="J25" s="61">
        <f>F25/H25-1</f>
        <v>-1</v>
      </c>
      <c r="K25" s="69">
        <v>127</v>
      </c>
      <c r="L25" s="69">
        <v>37</v>
      </c>
      <c r="M25" s="69">
        <f>282+81</f>
        <v>363</v>
      </c>
      <c r="N25" s="65">
        <f>K25/L25-1</f>
        <v>2.4324324324324325</v>
      </c>
      <c r="O25" s="61">
        <f>K25/M25-1</f>
        <v>-0.65013774104683197</v>
      </c>
      <c r="P25" s="71">
        <v>37</v>
      </c>
      <c r="Q25" s="71">
        <f>282+81</f>
        <v>363</v>
      </c>
    </row>
    <row r="26" spans="1:33">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ht="15.75"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1062</v>
      </c>
      <c r="L27" s="47">
        <f t="shared" si="2"/>
        <v>667</v>
      </c>
      <c r="M27" s="47">
        <f>M10+M13+M16+M19+M22+M25</f>
        <v>3344</v>
      </c>
      <c r="N27" s="67">
        <f>K27/L27-1</f>
        <v>0.59220389805097451</v>
      </c>
      <c r="O27" s="63">
        <f>K27/M27-1</f>
        <v>-0.68241626794258381</v>
      </c>
      <c r="P27" s="47">
        <f>P10+P13+P16+P19+P22+P25</f>
        <v>667</v>
      </c>
      <c r="Q27" s="47">
        <f>Q10+Q13+Q16+Q19+Q22+Q25</f>
        <v>3344</v>
      </c>
    </row>
    <row r="28" spans="1:33" s="23" customFormat="1" ht="16.5"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6:8" s="10" customFormat="1" hidden="1">
      <c r="F33" s="42"/>
      <c r="G33" s="42"/>
      <c r="H33" s="42"/>
    </row>
    <row r="34" spans="6:8" s="10" customFormat="1" hidden="1">
      <c r="F34" s="42"/>
      <c r="G34" s="42"/>
      <c r="H34" s="42"/>
    </row>
    <row r="35" spans="6:8" s="10" customFormat="1" hidden="1">
      <c r="F35" s="42"/>
      <c r="G35" s="42"/>
      <c r="H35" s="42"/>
    </row>
    <row r="36" spans="6:8" s="10" customFormat="1" hidden="1">
      <c r="F36" s="42"/>
      <c r="G36" s="42"/>
      <c r="H36" s="42"/>
    </row>
    <row r="37" spans="6:8" s="10" customFormat="1" hidden="1">
      <c r="F37" s="42"/>
      <c r="G37" s="42"/>
      <c r="H37" s="42"/>
    </row>
    <row r="38" spans="6:8" s="10" customFormat="1" hidden="1">
      <c r="F38" s="42"/>
      <c r="G38" s="42"/>
      <c r="H38" s="42"/>
    </row>
    <row r="39" spans="6:8" s="10" customFormat="1" hidden="1">
      <c r="F39" s="42"/>
      <c r="G39" s="42"/>
      <c r="H39" s="42"/>
    </row>
    <row r="40" spans="6:8" s="10" customFormat="1" hidden="1">
      <c r="F40" s="42"/>
      <c r="G40" s="42"/>
      <c r="H40" s="42"/>
    </row>
    <row r="41" spans="6:8" s="10" customFormat="1" hidden="1">
      <c r="F41" s="42"/>
      <c r="G41" s="42"/>
      <c r="H41" s="42"/>
    </row>
    <row r="42" spans="6:8" s="10" customFormat="1" hidden="1">
      <c r="F42" s="42"/>
      <c r="G42" s="42"/>
      <c r="H42" s="42"/>
    </row>
    <row r="43" spans="6:8" s="10" customFormat="1" hidden="1">
      <c r="F43" s="42"/>
      <c r="G43" s="42"/>
      <c r="H43" s="42"/>
    </row>
    <row r="44" spans="6:8" s="10" customFormat="1" hidden="1">
      <c r="F44" s="42"/>
      <c r="G44" s="42"/>
      <c r="H44" s="42"/>
    </row>
    <row r="45" spans="6:8" s="10" customFormat="1" hidden="1">
      <c r="F45" s="42"/>
      <c r="G45" s="42"/>
      <c r="H45" s="42"/>
    </row>
    <row r="46" spans="6:8" s="10" customFormat="1" hidden="1">
      <c r="F46" s="42"/>
      <c r="G46" s="42"/>
      <c r="H46" s="42"/>
    </row>
    <row r="47" spans="6:8" s="10" customFormat="1" hidden="1">
      <c r="F47" s="42"/>
      <c r="G47" s="42"/>
      <c r="H47" s="42"/>
    </row>
    <row r="48" spans="6:8" s="10" customFormat="1"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23" width="10.28515625" style="2" customWidth="1"/>
    <col min="24"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5.75">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5">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5">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5.75">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5">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heetViews>
  <sheetFormatPr defaultColWidth="0" defaultRowHeight="15" customHeight="1" zeroHeight="1"/>
  <cols>
    <col min="1" max="3" width="2.5703125" customWidth="1"/>
    <col min="4" max="4" width="9.140625" customWidth="1"/>
    <col min="5" max="5" width="15.42578125" customWidth="1"/>
    <col min="6" max="6" width="11.140625" bestFit="1" customWidth="1"/>
    <col min="7" max="7" width="9.140625" customWidth="1"/>
    <col min="8" max="8" width="10.5703125" bestFit="1" customWidth="1"/>
    <col min="9" max="10" width="9.140625" customWidth="1"/>
    <col min="11" max="11" width="10.28515625" bestFit="1" customWidth="1"/>
    <col min="12" max="12" width="12.28515625" bestFit="1" customWidth="1"/>
    <col min="13" max="13" width="12.57031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26</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9" t="s">
        <v>27</v>
      </c>
      <c r="G6" s="121"/>
      <c r="H6" s="121"/>
      <c r="I6" s="122"/>
      <c r="J6" s="123"/>
      <c r="K6" s="119" t="s">
        <v>28</v>
      </c>
      <c r="L6" s="121"/>
      <c r="M6" s="121"/>
      <c r="N6" s="122"/>
      <c r="O6" s="123"/>
      <c r="P6" s="117" t="s">
        <v>9</v>
      </c>
      <c r="Q6" s="121"/>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c r="A12" s="10"/>
      <c r="B12" s="13"/>
      <c r="C12" s="32" t="s">
        <v>74</v>
      </c>
      <c r="D12" s="27"/>
      <c r="E12" s="33"/>
      <c r="F12" s="46"/>
      <c r="G12" s="46"/>
      <c r="H12" s="46"/>
      <c r="I12" s="65"/>
      <c r="J12" s="62"/>
      <c r="K12" s="44"/>
      <c r="L12" s="44"/>
      <c r="M12" s="44"/>
      <c r="N12" s="66"/>
      <c r="O12" s="62"/>
      <c r="P12" s="45"/>
      <c r="Q12" s="45"/>
    </row>
    <row r="13" spans="1:33">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20</v>
      </c>
      <c r="G25" s="69">
        <v>8</v>
      </c>
      <c r="H25" s="69">
        <v>17</v>
      </c>
      <c r="I25" s="65">
        <f t="shared" si="0"/>
        <v>1.5</v>
      </c>
      <c r="J25" s="61">
        <f>F25/H25-1</f>
        <v>0.17647058823529416</v>
      </c>
      <c r="K25" s="69">
        <v>127</v>
      </c>
      <c r="L25" s="69">
        <v>32</v>
      </c>
      <c r="M25" s="69">
        <v>343</v>
      </c>
      <c r="N25" s="65">
        <f>K25/L25-1</f>
        <v>2.96875</v>
      </c>
      <c r="O25" s="61">
        <f>K25/M25-1</f>
        <v>-0.629737609329446</v>
      </c>
      <c r="P25" s="71">
        <v>37</v>
      </c>
      <c r="Q25" s="71">
        <v>363</v>
      </c>
    </row>
    <row r="26" spans="1:33">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ht="15.75"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855</v>
      </c>
      <c r="L27" s="47">
        <f t="shared" si="2"/>
        <v>659</v>
      </c>
      <c r="M27" s="47">
        <f t="shared" si="2"/>
        <v>3051</v>
      </c>
      <c r="N27" s="67">
        <f>K27/L27-1</f>
        <v>0.29742033383915012</v>
      </c>
      <c r="O27" s="63">
        <f>K27/M27-1</f>
        <v>-0.71976401179940996</v>
      </c>
      <c r="P27" s="47">
        <f>P10+P13+P16+P19+P22+P25</f>
        <v>667</v>
      </c>
      <c r="Q27" s="47">
        <f>Q10+Q13+Q16+Q19+Q22+Q25</f>
        <v>3344</v>
      </c>
    </row>
    <row r="28" spans="1:33" s="23" customFormat="1" ht="16.5"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 bestFit="1" customWidth="1"/>
    <col min="7" max="7" width="9.140625" customWidth="1"/>
    <col min="8" max="8" width="11" bestFit="1" customWidth="1"/>
    <col min="9" max="10" width="9.140625" customWidth="1"/>
    <col min="11" max="11" width="11" bestFit="1" customWidth="1"/>
    <col min="12" max="12" width="11.85546875" bestFit="1" customWidth="1"/>
    <col min="13" max="13" width="12.140625" bestFit="1" customWidth="1"/>
    <col min="14" max="15" width="9.140625" customWidth="1"/>
    <col min="16" max="16" width="11.85546875"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25</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9" t="s">
        <v>24</v>
      </c>
      <c r="G6" s="121"/>
      <c r="H6" s="121"/>
      <c r="I6" s="122"/>
      <c r="J6" s="123"/>
      <c r="K6" s="119" t="s">
        <v>8</v>
      </c>
      <c r="L6" s="121"/>
      <c r="M6" s="121"/>
      <c r="N6" s="122"/>
      <c r="O6" s="123"/>
      <c r="P6" s="117" t="s">
        <v>9</v>
      </c>
      <c r="Q6" s="121"/>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28</v>
      </c>
      <c r="G25" s="69">
        <v>12</v>
      </c>
      <c r="H25" s="69">
        <v>71</v>
      </c>
      <c r="I25" s="65">
        <f t="shared" si="0"/>
        <v>1.3333333333333335</v>
      </c>
      <c r="J25" s="61">
        <f>F25/H25-1</f>
        <v>-0.60563380281690149</v>
      </c>
      <c r="K25" s="69">
        <v>107</v>
      </c>
      <c r="L25" s="69">
        <v>24</v>
      </c>
      <c r="M25" s="69">
        <v>326</v>
      </c>
      <c r="N25" s="65">
        <f>K25/L25-1</f>
        <v>3.458333333333333</v>
      </c>
      <c r="O25" s="61">
        <f>K25/M25-1</f>
        <v>-0.67177914110429449</v>
      </c>
      <c r="P25" s="71">
        <v>37</v>
      </c>
      <c r="Q25" s="71">
        <v>363</v>
      </c>
    </row>
    <row r="26" spans="1:33">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ht="15.75"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631</v>
      </c>
      <c r="L27" s="47">
        <f t="shared" si="2"/>
        <v>646</v>
      </c>
      <c r="M27" s="47">
        <f t="shared" si="2"/>
        <v>2737</v>
      </c>
      <c r="N27" s="67">
        <f>K27/L27-1</f>
        <v>-2.3219814241486114E-2</v>
      </c>
      <c r="O27" s="63">
        <f>K27/M27-1</f>
        <v>-0.76945560833028859</v>
      </c>
      <c r="P27" s="47">
        <f>P10+P13+P16+P19+P22+P25</f>
        <v>667</v>
      </c>
      <c r="Q27" s="47">
        <f>Q10+Q13+Q16+Q19+Q22+Q25</f>
        <v>3344</v>
      </c>
    </row>
    <row r="28" spans="1:33" s="23" customFormat="1" ht="16.5"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heetViews>
  <sheetFormatPr defaultColWidth="0" defaultRowHeight="15" customHeight="1" zeroHeight="1"/>
  <cols>
    <col min="1" max="3" width="2.5703125" customWidth="1"/>
    <col min="4" max="4" width="9.140625" customWidth="1"/>
    <col min="5" max="5" width="15.42578125" customWidth="1"/>
    <col min="6" max="6" width="11.28515625" bestFit="1" customWidth="1"/>
    <col min="7" max="7" width="9.140625" customWidth="1"/>
    <col min="8" max="8" width="11.140625" bestFit="1" customWidth="1"/>
    <col min="9" max="10" width="9.140625" customWidth="1"/>
    <col min="11" max="11" width="11" bestFit="1" customWidth="1"/>
    <col min="12" max="13" width="12.28515625" bestFit="1" customWidth="1"/>
    <col min="14" max="15" width="9.140625" customWidth="1"/>
    <col min="16" max="16" width="13" bestFit="1" customWidth="1"/>
    <col min="17" max="17" width="12.42578125" customWidth="1"/>
    <col min="18" max="18" width="3.28515625" style="10" customWidth="1"/>
    <col min="19" max="33" width="0" style="10" hidden="1" customWidth="1"/>
    <col min="34" max="16384" width="9.140625" hidden="1"/>
  </cols>
  <sheetData>
    <row r="1" spans="1:33">
      <c r="A1" s="10"/>
      <c r="B1" s="10"/>
      <c r="C1" s="10"/>
      <c r="D1" s="10"/>
      <c r="E1" s="10"/>
      <c r="F1" s="10"/>
      <c r="G1" s="10"/>
      <c r="H1" s="10"/>
      <c r="I1" s="10"/>
      <c r="J1" s="10"/>
      <c r="K1" s="10"/>
      <c r="L1" s="10"/>
      <c r="M1" s="10"/>
      <c r="N1" s="10"/>
      <c r="O1" s="10"/>
      <c r="P1" s="10"/>
      <c r="Q1" s="10"/>
    </row>
    <row r="2" spans="1:33" ht="19.5" thickBot="1">
      <c r="A2" s="10"/>
      <c r="B2" s="9" t="s">
        <v>6</v>
      </c>
      <c r="C2" s="24"/>
      <c r="D2" s="24"/>
      <c r="E2" s="24"/>
      <c r="F2" s="24"/>
      <c r="G2" s="24"/>
      <c r="H2" s="24"/>
      <c r="I2" s="24"/>
      <c r="J2" s="24"/>
      <c r="K2" s="24"/>
      <c r="L2" s="24"/>
      <c r="M2" s="24"/>
      <c r="N2" s="24"/>
      <c r="O2" s="24"/>
      <c r="P2" s="24"/>
      <c r="Q2" s="24"/>
    </row>
    <row r="3" spans="1:33">
      <c r="A3" s="10"/>
      <c r="B3" s="11"/>
      <c r="C3" s="25"/>
      <c r="D3" s="25"/>
      <c r="E3" s="25"/>
      <c r="F3" s="25"/>
      <c r="G3" s="25"/>
      <c r="H3" s="25"/>
      <c r="I3" s="25"/>
      <c r="J3" s="25"/>
      <c r="K3" s="25"/>
      <c r="L3" s="25"/>
      <c r="M3" s="25"/>
      <c r="N3" s="25"/>
      <c r="O3" s="25"/>
      <c r="P3" s="25"/>
      <c r="Q3" s="26"/>
    </row>
    <row r="4" spans="1:33" ht="15.75">
      <c r="A4" s="10"/>
      <c r="B4" s="12" t="s">
        <v>7</v>
      </c>
      <c r="C4" s="27"/>
      <c r="D4" s="25"/>
      <c r="E4" s="59" t="s">
        <v>21</v>
      </c>
      <c r="F4" s="25"/>
      <c r="G4" s="25"/>
      <c r="H4" s="25"/>
      <c r="I4" s="25"/>
      <c r="J4" s="25"/>
      <c r="K4" s="25"/>
      <c r="L4" s="25"/>
      <c r="M4" s="25"/>
      <c r="N4" s="25"/>
      <c r="O4" s="25"/>
      <c r="P4" s="25"/>
      <c r="Q4" s="25"/>
    </row>
    <row r="5" spans="1:33">
      <c r="A5" s="10"/>
      <c r="B5" s="11"/>
      <c r="C5" s="25"/>
      <c r="D5" s="25"/>
      <c r="E5" s="25"/>
      <c r="F5" s="25"/>
      <c r="G5" s="25"/>
      <c r="H5" s="25"/>
      <c r="I5" s="25"/>
      <c r="J5" s="25"/>
      <c r="K5" s="25"/>
      <c r="L5" s="25"/>
      <c r="M5" s="25"/>
      <c r="N5" s="25"/>
      <c r="O5" s="25"/>
      <c r="P5" s="25"/>
      <c r="Q5" s="25"/>
    </row>
    <row r="6" spans="1:33" s="21" customFormat="1">
      <c r="A6" s="10"/>
      <c r="B6"/>
      <c r="C6" s="28" t="s">
        <v>7</v>
      </c>
      <c r="D6" s="29"/>
      <c r="E6" s="29"/>
      <c r="F6" s="119" t="s">
        <v>22</v>
      </c>
      <c r="G6" s="121"/>
      <c r="H6" s="121"/>
      <c r="I6" s="122"/>
      <c r="J6" s="123"/>
      <c r="K6" s="119" t="s">
        <v>23</v>
      </c>
      <c r="L6" s="121"/>
      <c r="M6" s="121"/>
      <c r="N6" s="122"/>
      <c r="O6" s="123"/>
      <c r="P6" s="117" t="s">
        <v>9</v>
      </c>
      <c r="Q6" s="121"/>
      <c r="R6" s="10"/>
      <c r="S6" s="20"/>
      <c r="T6" s="20"/>
      <c r="U6" s="20"/>
      <c r="V6" s="20"/>
      <c r="W6" s="20"/>
      <c r="X6" s="20"/>
      <c r="Y6" s="20"/>
      <c r="Z6" s="20"/>
      <c r="AA6" s="20"/>
      <c r="AB6" s="20"/>
      <c r="AC6" s="20"/>
      <c r="AD6" s="20"/>
      <c r="AE6" s="20"/>
      <c r="AF6" s="20"/>
      <c r="AG6" s="20"/>
    </row>
    <row r="7" spans="1:33" ht="15.75">
      <c r="A7" s="10"/>
      <c r="B7" s="19"/>
      <c r="C7" s="30"/>
      <c r="D7" s="31"/>
      <c r="E7" s="31"/>
      <c r="F7" s="30"/>
      <c r="G7" s="31"/>
      <c r="H7" s="31"/>
      <c r="I7" s="31"/>
      <c r="J7" s="57"/>
      <c r="K7" s="30"/>
      <c r="L7" s="31"/>
      <c r="M7" s="31"/>
      <c r="N7" s="31"/>
      <c r="O7" s="57"/>
      <c r="P7" s="31"/>
      <c r="Q7" s="31"/>
    </row>
    <row r="8" spans="1:33" s="55" customFormat="1" ht="22.5">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c r="A9" s="10"/>
      <c r="B9" s="13"/>
      <c r="C9" s="32" t="s">
        <v>14</v>
      </c>
      <c r="D9" s="27"/>
      <c r="E9" s="33"/>
      <c r="F9" s="27"/>
      <c r="G9" s="27"/>
      <c r="H9" s="27"/>
      <c r="I9" s="27"/>
      <c r="J9" s="33"/>
      <c r="K9" s="27"/>
      <c r="L9" s="27"/>
      <c r="M9" s="27"/>
      <c r="N9" s="27"/>
      <c r="O9" s="33"/>
      <c r="P9" s="27"/>
      <c r="Q9" s="27"/>
    </row>
    <row r="10" spans="1:33">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c r="A12" s="10"/>
      <c r="B12" s="13"/>
      <c r="C12" s="32" t="s">
        <v>20</v>
      </c>
      <c r="D12" s="27"/>
      <c r="E12" s="33"/>
      <c r="F12" s="46"/>
      <c r="G12" s="46"/>
      <c r="H12" s="46"/>
      <c r="I12" s="65"/>
      <c r="J12" s="62"/>
      <c r="K12" s="44"/>
      <c r="L12" s="44"/>
      <c r="M12" s="44"/>
      <c r="N12" s="66"/>
      <c r="O12" s="62"/>
      <c r="P12" s="45"/>
      <c r="Q12" s="45"/>
    </row>
    <row r="13" spans="1:33">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c r="A15" s="10"/>
      <c r="B15" s="13"/>
      <c r="C15" s="32" t="s">
        <v>15</v>
      </c>
      <c r="D15" s="27"/>
      <c r="E15" s="33"/>
      <c r="F15" s="44"/>
      <c r="G15" s="44"/>
      <c r="H15" s="44"/>
      <c r="I15" s="65"/>
      <c r="J15" s="61"/>
      <c r="K15" s="44"/>
      <c r="L15" s="44"/>
      <c r="M15" s="44"/>
      <c r="N15" s="65"/>
      <c r="O15" s="61"/>
      <c r="P15" s="45"/>
      <c r="Q15" s="45"/>
    </row>
    <row r="16" spans="1:33">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c r="A18" s="10"/>
      <c r="B18" s="13"/>
      <c r="C18" s="32" t="s">
        <v>10</v>
      </c>
      <c r="D18" s="27"/>
      <c r="E18" s="35"/>
      <c r="F18" s="44"/>
      <c r="G18" s="44"/>
      <c r="H18" s="44"/>
      <c r="I18" s="65"/>
      <c r="J18" s="61"/>
      <c r="K18" s="44"/>
      <c r="L18" s="44"/>
      <c r="M18" s="44"/>
      <c r="N18" s="65"/>
      <c r="O18" s="61"/>
      <c r="P18" s="45"/>
      <c r="Q18" s="45"/>
    </row>
    <row r="19" spans="1:33">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c r="A21" s="10"/>
      <c r="B21" s="13"/>
      <c r="C21" s="32" t="s">
        <v>16</v>
      </c>
      <c r="D21" s="27"/>
      <c r="E21" s="33"/>
      <c r="F21" s="44"/>
      <c r="G21" s="44"/>
      <c r="H21" s="44"/>
      <c r="I21" s="65"/>
      <c r="J21" s="61"/>
      <c r="K21" s="44"/>
      <c r="L21" s="44"/>
      <c r="M21" s="44"/>
      <c r="N21" s="65"/>
      <c r="O21" s="61"/>
      <c r="P21" s="45"/>
      <c r="Q21" s="45"/>
    </row>
    <row r="22" spans="1:33">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c r="A24" s="10"/>
      <c r="B24" s="13"/>
      <c r="C24" s="32" t="s">
        <v>17</v>
      </c>
      <c r="D24" s="27"/>
      <c r="E24" s="33"/>
      <c r="F24" s="44"/>
      <c r="G24" s="44"/>
      <c r="H24" s="44"/>
      <c r="I24" s="65"/>
      <c r="J24" s="61"/>
      <c r="K24" s="44"/>
      <c r="L24" s="44"/>
      <c r="M24" s="44"/>
      <c r="N24" s="65"/>
      <c r="O24" s="61"/>
      <c r="P24" s="45"/>
      <c r="Q24" s="45"/>
    </row>
    <row r="25" spans="1:33">
      <c r="B25" s="13"/>
      <c r="C25" s="34"/>
      <c r="D25" s="27" t="s">
        <v>5</v>
      </c>
      <c r="E25" s="33"/>
      <c r="F25" s="69">
        <v>23</v>
      </c>
      <c r="G25" s="69">
        <v>7</v>
      </c>
      <c r="H25" s="69">
        <v>41</v>
      </c>
      <c r="I25" s="65">
        <f t="shared" si="0"/>
        <v>2.2857142857142856</v>
      </c>
      <c r="J25" s="61">
        <f>F25/H25-1</f>
        <v>-0.43902439024390238</v>
      </c>
      <c r="K25" s="69">
        <v>79</v>
      </c>
      <c r="L25" s="69">
        <v>12</v>
      </c>
      <c r="M25" s="69">
        <v>255</v>
      </c>
      <c r="N25" s="65">
        <f>K25/L25-1</f>
        <v>5.583333333333333</v>
      </c>
      <c r="O25" s="61">
        <f>K25/M25-1</f>
        <v>-0.69019607843137254</v>
      </c>
      <c r="P25" s="71">
        <v>37</v>
      </c>
      <c r="Q25" s="71">
        <v>363</v>
      </c>
    </row>
    <row r="26" spans="1:33">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ht="15.75"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382</v>
      </c>
      <c r="L27" s="47">
        <f t="shared" si="2"/>
        <v>626</v>
      </c>
      <c r="M27" s="47">
        <f t="shared" si="2"/>
        <v>2344</v>
      </c>
      <c r="N27" s="67">
        <f>K27/L27-1</f>
        <v>-0.38977635782747599</v>
      </c>
      <c r="O27" s="63">
        <f>K27/M27-1</f>
        <v>-0.83703071672354945</v>
      </c>
      <c r="P27" s="47">
        <f>P10+P13+P16+P19+P22+P25</f>
        <v>667</v>
      </c>
      <c r="Q27" s="47">
        <f>Q10+Q13+Q16+Q19+Q22+Q25</f>
        <v>3344</v>
      </c>
    </row>
    <row r="28" spans="1:33" s="23" customFormat="1" ht="16.5"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ht="15.75" thickTop="1">
      <c r="A29" s="10"/>
      <c r="B29" s="10"/>
      <c r="C29" s="10"/>
      <c r="D29" s="10"/>
      <c r="E29" s="10"/>
      <c r="F29" s="42"/>
      <c r="G29" s="42"/>
      <c r="H29" s="42"/>
      <c r="I29" s="10"/>
      <c r="J29" s="10"/>
      <c r="K29" s="10"/>
      <c r="L29" s="10"/>
      <c r="M29" s="10"/>
      <c r="N29" s="10"/>
      <c r="O29" s="10"/>
      <c r="P29" s="10"/>
      <c r="Q29" s="10"/>
    </row>
    <row r="30" spans="1:33" hidden="1">
      <c r="A30" s="10"/>
      <c r="B30" s="10"/>
      <c r="C30" s="10"/>
      <c r="D30" s="10"/>
      <c r="E30" s="10"/>
      <c r="F30" s="42"/>
      <c r="G30" s="42"/>
      <c r="H30" s="42"/>
      <c r="I30" s="10"/>
      <c r="J30" s="10"/>
      <c r="K30" s="10"/>
      <c r="L30" s="10"/>
      <c r="M30" s="10"/>
      <c r="N30" s="10"/>
      <c r="O30" s="10"/>
      <c r="P30" s="10"/>
      <c r="Q30" s="10"/>
    </row>
    <row r="31" spans="1:33" hidden="1">
      <c r="A31" s="10"/>
      <c r="B31" s="10"/>
      <c r="C31" s="10"/>
      <c r="D31" s="10"/>
      <c r="E31" s="10"/>
      <c r="F31" s="42"/>
      <c r="G31" s="42"/>
      <c r="H31" s="42"/>
      <c r="I31" s="10"/>
      <c r="J31" s="10"/>
      <c r="K31" s="10"/>
      <c r="L31" s="10"/>
      <c r="M31" s="10"/>
      <c r="N31" s="10"/>
      <c r="O31" s="10"/>
      <c r="P31" s="10"/>
      <c r="Q31" s="10"/>
    </row>
    <row r="32" spans="1:33" hidden="1">
      <c r="A32" s="10"/>
      <c r="B32" s="10"/>
      <c r="C32" s="10"/>
      <c r="D32" s="10"/>
      <c r="E32" s="10"/>
      <c r="F32" s="42"/>
      <c r="G32" s="42"/>
      <c r="H32" s="42"/>
      <c r="I32" s="10"/>
      <c r="J32" s="10"/>
      <c r="K32" s="10"/>
      <c r="L32" s="10"/>
      <c r="M32" s="10"/>
      <c r="N32" s="10"/>
      <c r="O32" s="10"/>
      <c r="P32" s="10"/>
      <c r="Q32" s="10"/>
    </row>
    <row r="33" spans="1:17" hidden="1">
      <c r="A33" s="10"/>
      <c r="B33" s="10"/>
      <c r="C33" s="10"/>
      <c r="D33" s="10"/>
      <c r="E33" s="10"/>
      <c r="F33" s="42"/>
      <c r="G33" s="42"/>
      <c r="H33" s="42"/>
      <c r="I33" s="10"/>
      <c r="J33" s="10"/>
      <c r="K33" s="10"/>
      <c r="L33" s="10"/>
      <c r="M33" s="10"/>
      <c r="N33" s="10"/>
      <c r="O33" s="10"/>
      <c r="P33" s="10"/>
      <c r="Q33" s="10"/>
    </row>
    <row r="34" spans="1:17" hidden="1">
      <c r="A34" s="10"/>
      <c r="B34" s="10"/>
      <c r="C34" s="10"/>
      <c r="D34" s="10"/>
      <c r="E34" s="10"/>
      <c r="F34" s="42"/>
      <c r="G34" s="42"/>
      <c r="H34" s="42"/>
      <c r="I34" s="10"/>
      <c r="J34" s="10"/>
      <c r="K34" s="10"/>
      <c r="L34" s="10"/>
      <c r="M34" s="10"/>
      <c r="N34" s="10"/>
      <c r="O34" s="10"/>
      <c r="P34" s="10"/>
      <c r="Q34" s="10"/>
    </row>
    <row r="35" spans="1:17" hidden="1">
      <c r="A35" s="10"/>
      <c r="B35" s="10"/>
      <c r="C35" s="10"/>
      <c r="D35" s="10"/>
      <c r="E35" s="10"/>
      <c r="F35" s="42"/>
      <c r="G35" s="42"/>
      <c r="H35" s="42"/>
      <c r="I35" s="10"/>
      <c r="J35" s="10"/>
      <c r="K35" s="10"/>
      <c r="L35" s="10"/>
      <c r="M35" s="10"/>
      <c r="N35" s="10"/>
      <c r="O35" s="10"/>
      <c r="P35" s="10"/>
      <c r="Q35" s="10"/>
    </row>
    <row r="36" spans="1:17" hidden="1">
      <c r="A36" s="10"/>
      <c r="B36" s="10"/>
      <c r="C36" s="10"/>
      <c r="D36" s="10"/>
      <c r="E36" s="10"/>
      <c r="F36" s="42"/>
      <c r="G36" s="42"/>
      <c r="H36" s="42"/>
      <c r="I36" s="10"/>
      <c r="J36" s="10"/>
      <c r="K36" s="10"/>
      <c r="L36" s="10"/>
      <c r="M36" s="10"/>
      <c r="N36" s="10"/>
      <c r="O36" s="10"/>
      <c r="P36" s="10"/>
      <c r="Q36" s="10"/>
    </row>
    <row r="37" spans="1:17" hidden="1">
      <c r="A37" s="10"/>
      <c r="B37" s="10"/>
      <c r="C37" s="10"/>
      <c r="D37" s="10"/>
      <c r="E37" s="10"/>
      <c r="F37" s="42"/>
      <c r="G37" s="42"/>
      <c r="H37" s="42"/>
      <c r="I37" s="10"/>
      <c r="J37" s="10"/>
      <c r="K37" s="10"/>
      <c r="L37" s="10"/>
      <c r="M37" s="10"/>
      <c r="N37" s="10"/>
      <c r="O37" s="10"/>
      <c r="P37" s="10"/>
      <c r="Q37" s="10"/>
    </row>
    <row r="38" spans="1:17" hidden="1">
      <c r="A38" s="10"/>
      <c r="B38" s="10"/>
      <c r="C38" s="10"/>
      <c r="D38" s="10"/>
      <c r="E38" s="10"/>
      <c r="F38" s="42"/>
      <c r="G38" s="42"/>
      <c r="H38" s="42"/>
      <c r="I38" s="10"/>
      <c r="J38" s="10"/>
      <c r="K38" s="10"/>
      <c r="L38" s="10"/>
      <c r="M38" s="10"/>
      <c r="N38" s="10"/>
      <c r="O38" s="10"/>
      <c r="P38" s="10"/>
      <c r="Q38" s="10"/>
    </row>
    <row r="39" spans="1:17" hidden="1">
      <c r="A39" s="10"/>
      <c r="B39" s="10"/>
      <c r="C39" s="10"/>
      <c r="D39" s="10"/>
      <c r="E39" s="10"/>
      <c r="F39" s="42"/>
      <c r="G39" s="42"/>
      <c r="H39" s="42"/>
      <c r="I39" s="10"/>
      <c r="J39" s="10"/>
      <c r="K39" s="10"/>
      <c r="L39" s="10"/>
      <c r="M39" s="10"/>
      <c r="N39" s="10"/>
      <c r="O39" s="10"/>
      <c r="P39" s="10"/>
      <c r="Q39" s="10"/>
    </row>
    <row r="40" spans="1:17" hidden="1">
      <c r="A40" s="10"/>
      <c r="B40" s="10"/>
      <c r="C40" s="10"/>
      <c r="D40" s="10"/>
      <c r="E40" s="10"/>
      <c r="F40" s="42"/>
      <c r="G40" s="42"/>
      <c r="H40" s="42"/>
      <c r="I40" s="10"/>
      <c r="J40" s="10"/>
      <c r="K40" s="10"/>
      <c r="L40" s="10"/>
      <c r="M40" s="10"/>
      <c r="N40" s="10"/>
      <c r="O40" s="10"/>
      <c r="P40" s="10"/>
      <c r="Q40" s="10"/>
    </row>
    <row r="41" spans="1:17" hidden="1">
      <c r="A41" s="10"/>
      <c r="B41" s="10"/>
      <c r="C41" s="10"/>
      <c r="D41" s="10"/>
      <c r="E41" s="10"/>
      <c r="F41" s="42"/>
      <c r="G41" s="42"/>
      <c r="H41" s="42"/>
      <c r="I41" s="10"/>
      <c r="J41" s="10"/>
      <c r="K41" s="10"/>
      <c r="L41" s="10"/>
      <c r="M41" s="10"/>
      <c r="N41" s="10"/>
      <c r="O41" s="10"/>
      <c r="P41" s="10"/>
      <c r="Q41" s="10"/>
    </row>
    <row r="42" spans="1:17" hidden="1">
      <c r="A42" s="10"/>
      <c r="B42" s="10"/>
      <c r="C42" s="10"/>
      <c r="D42" s="10"/>
      <c r="E42" s="10"/>
      <c r="F42" s="42"/>
      <c r="G42" s="42"/>
      <c r="H42" s="42"/>
      <c r="I42" s="10"/>
      <c r="J42" s="10"/>
      <c r="K42" s="10"/>
      <c r="L42" s="10"/>
      <c r="M42" s="10"/>
      <c r="N42" s="10"/>
      <c r="O42" s="10"/>
      <c r="P42" s="10"/>
      <c r="Q42" s="10"/>
    </row>
    <row r="43" spans="1:17" hidden="1">
      <c r="A43" s="10"/>
      <c r="B43" s="10"/>
      <c r="C43" s="10"/>
      <c r="D43" s="10"/>
      <c r="E43" s="10"/>
      <c r="F43" s="42"/>
      <c r="G43" s="42"/>
      <c r="H43" s="42"/>
      <c r="I43" s="10"/>
      <c r="J43" s="10"/>
      <c r="K43" s="10"/>
      <c r="L43" s="10"/>
      <c r="M43" s="10"/>
      <c r="N43" s="10"/>
      <c r="O43" s="10"/>
      <c r="P43" s="10"/>
      <c r="Q43" s="10"/>
    </row>
    <row r="44" spans="1:17" hidden="1">
      <c r="A44" s="10"/>
      <c r="B44" s="10"/>
      <c r="C44" s="10"/>
      <c r="D44" s="10"/>
      <c r="E44" s="10"/>
      <c r="F44" s="42"/>
      <c r="G44" s="42"/>
      <c r="H44" s="42"/>
      <c r="I44" s="10"/>
      <c r="J44" s="10"/>
      <c r="K44" s="10"/>
      <c r="L44" s="10"/>
      <c r="M44" s="10"/>
      <c r="N44" s="10"/>
      <c r="O44" s="10"/>
      <c r="P44" s="10"/>
      <c r="Q44" s="10"/>
    </row>
    <row r="45" spans="1:17" hidden="1">
      <c r="A45" s="10"/>
      <c r="B45" s="10"/>
      <c r="C45" s="10"/>
      <c r="D45" s="10"/>
      <c r="E45" s="10"/>
      <c r="F45" s="42"/>
      <c r="G45" s="42"/>
      <c r="H45" s="42"/>
      <c r="I45" s="10"/>
      <c r="J45" s="10"/>
      <c r="K45" s="10"/>
      <c r="L45" s="10"/>
      <c r="M45" s="10"/>
      <c r="N45" s="10"/>
      <c r="O45" s="10"/>
      <c r="P45" s="10"/>
      <c r="Q45" s="10"/>
    </row>
    <row r="46" spans="1:17" hidden="1">
      <c r="A46" s="10"/>
      <c r="B46" s="10"/>
      <c r="C46" s="10"/>
      <c r="D46" s="10"/>
      <c r="E46" s="10"/>
      <c r="F46" s="42"/>
      <c r="G46" s="42"/>
      <c r="H46" s="42"/>
      <c r="I46" s="10"/>
      <c r="J46" s="10"/>
      <c r="K46" s="10"/>
      <c r="L46" s="10"/>
      <c r="M46" s="10"/>
      <c r="N46" s="10"/>
      <c r="O46" s="10"/>
      <c r="P46" s="10"/>
      <c r="Q46" s="10"/>
    </row>
    <row r="47" spans="1:17" hidden="1">
      <c r="A47" s="10"/>
      <c r="B47" s="10"/>
      <c r="C47" s="10"/>
      <c r="D47" s="10"/>
      <c r="E47" s="10"/>
      <c r="F47" s="42"/>
      <c r="G47" s="42"/>
      <c r="H47" s="42"/>
      <c r="I47" s="10"/>
      <c r="J47" s="10"/>
      <c r="K47" s="10"/>
      <c r="L47" s="10"/>
      <c r="M47" s="10"/>
      <c r="N47" s="10"/>
      <c r="O47" s="10"/>
      <c r="P47" s="10"/>
      <c r="Q47" s="10"/>
    </row>
    <row r="48" spans="1:17"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abSelected="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5"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62"/>
  <sheetViews>
    <sheetView showGridLines="0" zoomScale="90" zoomScaleNormal="90" zoomScalePageLayoutView="40" workbookViewId="0">
      <selection activeCell="P9" sqref="P9"/>
    </sheetView>
  </sheetViews>
  <sheetFormatPr defaultColWidth="0" defaultRowHeight="0" customHeight="1" zeroHeight="1"/>
  <cols>
    <col min="1" max="2" width="2.5703125" customWidth="1"/>
    <col min="3" max="3" width="39" customWidth="1"/>
    <col min="4" max="4" width="1.7109375" customWidth="1"/>
    <col min="5" max="5" width="15.42578125" customWidth="1"/>
    <col min="6" max="17" width="10" style="95" customWidth="1"/>
    <col min="18" max="18" width="8.7109375" customWidth="1"/>
    <col min="19" max="19" width="11.28515625" bestFit="1" customWidth="1"/>
    <col min="20" max="20" width="3.28515625" style="10" customWidth="1"/>
    <col min="21" max="35" width="0" style="10" hidden="1" customWidth="1"/>
    <col min="36" max="46" width="0" hidden="1" customWidth="1"/>
    <col min="47" max="16384" width="9.140625" hidden="1"/>
  </cols>
  <sheetData>
    <row r="1" spans="1:35" ht="15">
      <c r="A1" s="10"/>
      <c r="B1" s="10"/>
      <c r="C1" s="10"/>
      <c r="D1" s="10"/>
      <c r="E1" s="10"/>
      <c r="F1" s="92"/>
      <c r="G1" s="92"/>
      <c r="H1" s="92"/>
      <c r="I1" s="92"/>
      <c r="J1" s="92"/>
      <c r="K1" s="92"/>
      <c r="L1" s="92"/>
      <c r="M1" s="92"/>
      <c r="N1" s="92"/>
      <c r="O1" s="92"/>
      <c r="P1" s="92"/>
      <c r="Q1" s="92"/>
      <c r="R1" s="10"/>
      <c r="S1" s="10"/>
    </row>
    <row r="2" spans="1:35" ht="19.5" thickBot="1">
      <c r="A2" s="10"/>
      <c r="B2" s="9" t="s">
        <v>86</v>
      </c>
      <c r="C2" s="24"/>
      <c r="D2" s="24"/>
      <c r="E2" s="24"/>
      <c r="F2" s="93"/>
      <c r="G2" s="93"/>
      <c r="H2" s="93"/>
      <c r="I2" s="93"/>
      <c r="J2" s="93"/>
      <c r="K2" s="93"/>
      <c r="L2" s="93"/>
      <c r="M2" s="93"/>
      <c r="N2" s="93"/>
      <c r="O2" s="93"/>
      <c r="P2" s="93"/>
      <c r="Q2" s="93"/>
      <c r="R2" s="24"/>
      <c r="S2" s="24"/>
    </row>
    <row r="3" spans="1:35" ht="15">
      <c r="A3" s="10"/>
      <c r="B3" s="11"/>
      <c r="C3" s="25"/>
      <c r="D3" s="25"/>
      <c r="E3" s="25"/>
      <c r="F3" s="94"/>
      <c r="G3" s="94"/>
      <c r="H3" s="94"/>
      <c r="I3" s="94"/>
      <c r="J3" s="94"/>
      <c r="K3" s="94"/>
      <c r="L3" s="94"/>
      <c r="M3" s="94"/>
      <c r="N3" s="94"/>
      <c r="O3" s="94"/>
      <c r="P3" s="94"/>
      <c r="Q3" s="94"/>
      <c r="R3" s="25"/>
      <c r="S3" s="26">
        <f>+' '!I17</f>
        <v>44941</v>
      </c>
    </row>
    <row r="4" spans="1:35" ht="15.75">
      <c r="A4" s="10"/>
      <c r="B4" s="12" t="s">
        <v>7</v>
      </c>
      <c r="C4" s="27"/>
      <c r="D4" s="25"/>
      <c r="E4" s="59" t="s">
        <v>96</v>
      </c>
      <c r="F4" s="94"/>
      <c r="G4" s="94"/>
      <c r="H4" s="94"/>
      <c r="I4" s="94"/>
      <c r="J4" s="94"/>
      <c r="K4" s="94"/>
      <c r="L4" s="94"/>
      <c r="M4" s="94"/>
      <c r="N4" s="94"/>
      <c r="O4" s="94"/>
      <c r="P4" s="94"/>
      <c r="Q4" s="94"/>
      <c r="R4" s="25"/>
      <c r="S4" s="25"/>
    </row>
    <row r="5" spans="1:35" ht="15">
      <c r="A5" s="10"/>
      <c r="B5" s="11"/>
      <c r="C5" s="25"/>
      <c r="D5" s="25"/>
      <c r="E5" s="25"/>
      <c r="F5" s="94"/>
      <c r="G5" s="94"/>
      <c r="H5" s="94"/>
      <c r="I5" s="94"/>
      <c r="J5" s="94"/>
      <c r="K5" s="94"/>
      <c r="L5" s="94"/>
      <c r="M5" s="94"/>
      <c r="N5" s="94"/>
      <c r="O5" s="94"/>
      <c r="P5" s="94"/>
      <c r="Q5" s="94"/>
      <c r="R5" s="25"/>
      <c r="S5" s="25"/>
    </row>
    <row r="6" spans="1:35" ht="15">
      <c r="A6" s="10"/>
      <c r="B6" s="87" t="s">
        <v>83</v>
      </c>
      <c r="D6" s="25"/>
      <c r="E6" s="25"/>
      <c r="F6" s="94"/>
      <c r="G6" s="94"/>
      <c r="H6" s="94"/>
      <c r="I6" s="94"/>
      <c r="J6" s="94"/>
      <c r="K6" s="94"/>
      <c r="L6" s="94"/>
      <c r="M6" s="94"/>
      <c r="N6" s="94"/>
      <c r="O6" s="94"/>
      <c r="P6" s="94"/>
      <c r="Q6" s="94"/>
      <c r="R6" s="25"/>
      <c r="S6" s="25"/>
    </row>
    <row r="7" spans="1:35" ht="15">
      <c r="A7" s="10"/>
      <c r="B7" s="11"/>
      <c r="C7" s="109" t="s">
        <v>99</v>
      </c>
      <c r="D7" s="110"/>
      <c r="E7" s="111"/>
      <c r="F7" s="94"/>
      <c r="G7" s="94"/>
      <c r="H7" s="94"/>
      <c r="I7" s="94"/>
      <c r="J7" s="94"/>
      <c r="K7" s="94"/>
      <c r="L7" s="94"/>
      <c r="M7" s="94"/>
      <c r="N7" s="94"/>
      <c r="O7" s="94"/>
      <c r="P7" s="94"/>
      <c r="Q7" s="94"/>
      <c r="R7" s="25"/>
      <c r="S7" s="25"/>
    </row>
    <row r="8" spans="1:35" s="21" customFormat="1" ht="15">
      <c r="A8" s="10"/>
      <c r="B8"/>
      <c r="C8" s="28" t="s">
        <v>7</v>
      </c>
      <c r="D8" s="29"/>
      <c r="E8" s="29"/>
      <c r="F8" s="103" t="s">
        <v>75</v>
      </c>
      <c r="G8" s="103" t="s">
        <v>76</v>
      </c>
      <c r="H8" s="103" t="s">
        <v>77</v>
      </c>
      <c r="I8" s="103" t="s">
        <v>45</v>
      </c>
      <c r="J8" s="103" t="s">
        <v>47</v>
      </c>
      <c r="K8" s="103" t="s">
        <v>51</v>
      </c>
      <c r="L8" s="103" t="s">
        <v>55</v>
      </c>
      <c r="M8" s="103" t="s">
        <v>78</v>
      </c>
      <c r="N8" s="103" t="s">
        <v>79</v>
      </c>
      <c r="O8" s="103" t="s">
        <v>80</v>
      </c>
      <c r="P8" s="103" t="s">
        <v>81</v>
      </c>
      <c r="Q8" s="103" t="s">
        <v>82</v>
      </c>
      <c r="R8"/>
      <c r="S8"/>
      <c r="T8" s="10"/>
      <c r="U8" s="20"/>
      <c r="V8" s="20"/>
      <c r="W8" s="20"/>
      <c r="X8" s="20"/>
      <c r="Y8" s="20"/>
      <c r="Z8" s="20"/>
      <c r="AA8" s="20"/>
      <c r="AB8" s="20"/>
      <c r="AC8" s="20"/>
      <c r="AD8" s="20"/>
      <c r="AE8" s="20"/>
      <c r="AF8" s="20"/>
      <c r="AG8" s="20"/>
      <c r="AH8" s="20"/>
      <c r="AI8" s="20"/>
    </row>
    <row r="9" spans="1:35" ht="20.25" customHeight="1">
      <c r="A9" s="10"/>
      <c r="B9" s="19"/>
      <c r="C9" s="101" t="s">
        <v>84</v>
      </c>
      <c r="D9" s="31"/>
      <c r="E9" s="31"/>
      <c r="F9" s="104">
        <v>0.438</v>
      </c>
      <c r="G9" s="105">
        <v>0.48799999999999999</v>
      </c>
      <c r="H9" s="105">
        <v>0.63400000000000001</v>
      </c>
      <c r="I9" s="105">
        <v>0.67100000000000004</v>
      </c>
      <c r="J9" s="105">
        <v>0.65500000000000003</v>
      </c>
      <c r="K9" s="105">
        <v>0.78100000000000003</v>
      </c>
      <c r="L9" s="105">
        <v>0.89800000000000002</v>
      </c>
      <c r="M9" s="105">
        <v>0.96599999999999997</v>
      </c>
      <c r="N9" s="105">
        <v>0.88600000000000001</v>
      </c>
      <c r="O9" s="105">
        <v>0.87811353241344148</v>
      </c>
      <c r="P9" s="105">
        <v>0.87302339390587125</v>
      </c>
      <c r="Q9" s="105">
        <v>0.97759515227240656</v>
      </c>
    </row>
    <row r="10" spans="1:35" ht="20.25" customHeight="1">
      <c r="A10" s="10"/>
      <c r="B10" s="19"/>
      <c r="C10" s="106"/>
      <c r="D10" s="107"/>
      <c r="E10" s="107"/>
      <c r="F10" s="100"/>
      <c r="G10" s="100"/>
      <c r="H10" s="100"/>
      <c r="I10" s="100"/>
      <c r="J10" s="100"/>
      <c r="K10" s="100"/>
      <c r="L10" s="100"/>
      <c r="M10" s="100"/>
      <c r="N10" s="100"/>
      <c r="O10" s="100"/>
      <c r="P10" s="100"/>
      <c r="Q10" s="108"/>
      <c r="R10" s="10"/>
    </row>
    <row r="11" spans="1:35" ht="20.25" customHeight="1">
      <c r="A11" s="10"/>
      <c r="B11" s="19"/>
      <c r="C11" s="109" t="s">
        <v>100</v>
      </c>
      <c r="D11" s="110"/>
      <c r="E11" s="112"/>
      <c r="F11" s="108"/>
      <c r="G11" s="108"/>
      <c r="H11" s="108"/>
      <c r="I11" s="108"/>
      <c r="J11" s="108"/>
      <c r="K11" s="108"/>
      <c r="L11" s="108"/>
      <c r="M11" s="108"/>
      <c r="N11" s="108"/>
      <c r="O11" s="108"/>
      <c r="P11" s="108"/>
      <c r="Q11" s="108"/>
      <c r="R11" s="10"/>
    </row>
    <row r="12" spans="1:35" ht="20.25" customHeight="1">
      <c r="A12" s="10"/>
      <c r="B12" s="19"/>
      <c r="C12" s="28" t="s">
        <v>7</v>
      </c>
      <c r="D12" s="29"/>
      <c r="E12" s="29"/>
      <c r="F12" s="103" t="s">
        <v>75</v>
      </c>
      <c r="G12" s="103" t="s">
        <v>76</v>
      </c>
      <c r="H12" s="103" t="s">
        <v>77</v>
      </c>
      <c r="I12" s="103" t="s">
        <v>45</v>
      </c>
      <c r="J12" s="103" t="s">
        <v>47</v>
      </c>
      <c r="K12" s="103" t="s">
        <v>51</v>
      </c>
      <c r="L12" s="103" t="s">
        <v>55</v>
      </c>
      <c r="M12" s="103" t="s">
        <v>78</v>
      </c>
      <c r="N12" s="103" t="s">
        <v>79</v>
      </c>
      <c r="O12" s="103" t="s">
        <v>80</v>
      </c>
      <c r="P12" s="103" t="s">
        <v>81</v>
      </c>
      <c r="Q12" s="103" t="s">
        <v>82</v>
      </c>
      <c r="R12" s="10"/>
    </row>
    <row r="13" spans="1:35" ht="20.25" customHeight="1">
      <c r="A13" s="10"/>
      <c r="B13" s="19"/>
      <c r="C13" s="101" t="s">
        <v>84</v>
      </c>
      <c r="D13" s="31"/>
      <c r="E13" s="31"/>
      <c r="F13" s="104">
        <v>0.41823087434338119</v>
      </c>
      <c r="G13" s="105">
        <v>0.47083755198064259</v>
      </c>
      <c r="H13" s="105">
        <v>0.6233573525072601</v>
      </c>
      <c r="I13" s="105">
        <v>0.66777314044950997</v>
      </c>
      <c r="J13" s="105">
        <v>0.65681540466649779</v>
      </c>
      <c r="K13" s="105">
        <v>0.78080882831305709</v>
      </c>
      <c r="L13" s="105">
        <v>0.89027550740676809</v>
      </c>
      <c r="M13" s="105">
        <v>0.96622440101119256</v>
      </c>
      <c r="N13" s="105"/>
      <c r="O13" s="105"/>
      <c r="P13" s="105"/>
      <c r="Q13" s="105"/>
      <c r="R13" s="10"/>
    </row>
    <row r="14" spans="1:35" ht="20.25" customHeight="1">
      <c r="A14" s="10"/>
      <c r="B14" s="10"/>
      <c r="C14" s="10"/>
      <c r="D14" s="10"/>
      <c r="E14" s="10"/>
      <c r="F14"/>
      <c r="G14"/>
      <c r="H14"/>
      <c r="I14"/>
      <c r="J14"/>
      <c r="K14"/>
      <c r="L14"/>
      <c r="M14"/>
      <c r="N14"/>
      <c r="O14" s="92"/>
      <c r="P14" s="92"/>
      <c r="Q14" s="92"/>
      <c r="R14" s="10"/>
    </row>
    <row r="15" spans="1:35" ht="20.25" customHeight="1">
      <c r="A15" s="10"/>
      <c r="B15" s="10"/>
      <c r="C15" s="102" t="s">
        <v>101</v>
      </c>
      <c r="D15" s="10"/>
      <c r="E15" s="10"/>
      <c r="F15"/>
      <c r="G15"/>
      <c r="H15"/>
      <c r="I15"/>
      <c r="J15"/>
      <c r="K15"/>
      <c r="L15"/>
      <c r="M15"/>
      <c r="N15"/>
      <c r="O15" s="92"/>
      <c r="P15" s="92"/>
      <c r="Q15" s="92"/>
      <c r="R15" s="10"/>
    </row>
    <row r="16" spans="1:35" ht="20.25" customHeight="1">
      <c r="A16" s="10"/>
      <c r="B16" s="10"/>
      <c r="C16" s="102" t="s">
        <v>102</v>
      </c>
      <c r="D16" s="10"/>
      <c r="E16" s="10"/>
      <c r="F16"/>
      <c r="G16"/>
      <c r="H16"/>
      <c r="I16"/>
      <c r="J16"/>
      <c r="K16"/>
      <c r="L16"/>
      <c r="M16"/>
      <c r="N16"/>
      <c r="O16" s="92"/>
      <c r="P16" s="92"/>
      <c r="Q16" s="92"/>
      <c r="R16" s="10"/>
    </row>
    <row r="17" spans="3:3" ht="26.25" customHeight="1">
      <c r="C17" s="102" t="s">
        <v>103</v>
      </c>
    </row>
    <row r="18" spans="3:3" ht="26.65" hidden="1" customHeight="1"/>
    <row r="19" spans="3:3" ht="26.45" hidden="1" customHeight="1"/>
    <row r="20" spans="3:3" ht="26.45" hidden="1" customHeight="1"/>
    <row r="21" spans="3:3" ht="26.65" hidden="1" customHeight="1"/>
    <row r="22" spans="3:3" ht="26.65" hidden="1" customHeight="1"/>
    <row r="23" spans="3:3" ht="26.65" hidden="1" customHeight="1"/>
    <row r="24" spans="3:3" ht="26.65" hidden="1" customHeight="1"/>
    <row r="25" spans="3:3" ht="26.65" hidden="1" customHeight="1"/>
    <row r="26" spans="3:3" ht="26.65" hidden="1" customHeight="1"/>
    <row r="27" spans="3:3" ht="26.65" hidden="1" customHeight="1"/>
    <row r="28" spans="3:3" ht="26.65" hidden="1" customHeight="1"/>
    <row r="29" spans="3:3" ht="26.65" hidden="1" customHeight="1"/>
    <row r="30" spans="3:3" ht="26.65" hidden="1" customHeight="1"/>
    <row r="31" spans="3:3" ht="26.65" hidden="1" customHeight="1"/>
    <row r="32" spans="3:3" ht="26.65" hidden="1" customHeight="1"/>
    <row r="33" ht="26.65" hidden="1" customHeight="1"/>
    <row r="34" ht="26.65" hidden="1" customHeight="1"/>
    <row r="35" ht="26.65" hidden="1" customHeight="1"/>
    <row r="36" ht="26.65" hidden="1" customHeight="1"/>
    <row r="37" ht="26.65" hidden="1" customHeight="1"/>
    <row r="38" ht="26.65" hidden="1" customHeight="1"/>
    <row r="39" ht="26.65" hidden="1" customHeight="1"/>
    <row r="40" ht="26.65" hidden="1" customHeight="1"/>
    <row r="41" ht="26.65" hidden="1" customHeight="1"/>
    <row r="42" ht="26.65" hidden="1" customHeight="1"/>
    <row r="43" ht="11.45" hidden="1" customHeight="1"/>
    <row r="44" ht="9" hidden="1" customHeight="1"/>
    <row r="45" ht="17.4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row r="59" ht="26.65" hidden="1" customHeight="1"/>
    <row r="60" ht="26.65" hidden="1" customHeight="1"/>
    <row r="61" ht="26.65" hidden="1" customHeight="1"/>
    <row r="62" ht="26.65"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703125" style="2" customWidth="1"/>
    <col min="3" max="3" width="20.7109375" style="2" customWidth="1"/>
    <col min="4" max="4" width="10.5703125" style="2" bestFit="1" customWidth="1"/>
    <col min="5" max="8" width="9.28515625" style="2" customWidth="1"/>
    <col min="9" max="9" width="14.28515625" style="2" customWidth="1"/>
    <col min="10" max="10" width="5" style="2" customWidth="1"/>
    <col min="11" max="11" width="9.28515625" style="2" customWidth="1"/>
    <col min="12" max="12" width="4.7109375" style="2" customWidth="1"/>
    <col min="13" max="16" width="9.28515625" style="2" customWidth="1"/>
    <col min="17" max="17" width="3.5703125" style="2" customWidth="1"/>
    <col min="18" max="18" width="10.28515625" style="2" customWidth="1"/>
    <col min="19" max="33" width="10.28515625" style="2" hidden="1" customWidth="1"/>
    <col min="34" max="34" width="4.7109375" style="2" hidden="1" customWidth="1"/>
    <col min="35" max="16384" width="10.28515625" style="2" hidden="1"/>
  </cols>
  <sheetData>
    <row r="1" spans="2:34" ht="23.25">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9.5"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85</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5" hidden="1"/>
    <row r="33" ht="13.5" hidden="1"/>
    <row r="34" ht="13.5" hidden="1"/>
    <row r="35" ht="13.5" hidden="1"/>
    <row r="36" ht="13.5" hidden="1"/>
    <row r="37" ht="13.5" hidden="1"/>
    <row r="38" ht="13.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8"/>
  <sheetViews>
    <sheetView showGridLines="0" zoomScaleNormal="100" zoomScalePageLayoutView="40" workbookViewId="0">
      <selection activeCell="G1" sqref="G1"/>
    </sheetView>
  </sheetViews>
  <sheetFormatPr defaultColWidth="0" defaultRowHeight="0" customHeight="1" zeroHeight="1"/>
  <cols>
    <col min="1" max="3" width="2.5703125" customWidth="1"/>
    <col min="4" max="4" width="9.140625" customWidth="1"/>
    <col min="5" max="7" width="15.42578125" customWidth="1"/>
    <col min="8" max="9" width="11.140625" bestFit="1" customWidth="1"/>
    <col min="10" max="10" width="10.5703125" bestFit="1" customWidth="1"/>
    <col min="11" max="11" width="9.28515625" customWidth="1"/>
    <col min="12" max="12" width="9" bestFit="1" customWidth="1"/>
    <col min="13" max="14" width="9.140625" customWidth="1"/>
    <col min="15" max="15" width="11" bestFit="1" customWidth="1"/>
    <col min="16" max="16" width="11" customWidth="1"/>
    <col min="17" max="17" width="10.28515625" bestFit="1" customWidth="1"/>
    <col min="18" max="18" width="12.28515625" bestFit="1" customWidth="1"/>
    <col min="19" max="19" width="11.42578125" customWidth="1"/>
    <col min="20" max="20" width="9.7109375" customWidth="1"/>
    <col min="21" max="21" width="8.7109375" customWidth="1"/>
    <col min="22" max="22" width="9.140625" bestFit="1" customWidth="1"/>
    <col min="23" max="23" width="8.7109375" customWidth="1"/>
    <col min="24" max="24" width="10.42578125" bestFit="1" customWidth="1"/>
    <col min="25" max="25" width="10.42578125" customWidth="1"/>
    <col min="26" max="26" width="10.42578125" bestFit="1" customWidth="1"/>
    <col min="27" max="27" width="11.28515625" bestFit="1" customWidth="1"/>
    <col min="28" max="28" width="3.28515625" style="10" customWidth="1"/>
    <col min="29" max="43" width="0" style="10" hidden="1" customWidth="1"/>
    <col min="44" max="51" width="0" hidden="1" customWidth="1"/>
    <col min="52" max="16384" width="9.140625" hidden="1"/>
  </cols>
  <sheetData>
    <row r="1" spans="1:43" ht="15">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9.5"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row>
    <row r="3" spans="1:43" ht="15">
      <c r="A3" s="10"/>
      <c r="B3" s="11"/>
      <c r="C3" s="25"/>
      <c r="D3" s="25"/>
      <c r="E3" s="25"/>
      <c r="F3" s="25"/>
      <c r="G3" s="25"/>
      <c r="H3" s="25"/>
      <c r="I3" s="25"/>
      <c r="J3" s="25"/>
      <c r="K3" s="25"/>
      <c r="L3" s="25"/>
      <c r="M3" s="25"/>
      <c r="N3" s="25"/>
      <c r="O3" s="25"/>
      <c r="P3" s="25"/>
      <c r="Q3" s="25"/>
      <c r="R3" s="25"/>
      <c r="S3" s="25"/>
      <c r="T3" s="25"/>
      <c r="U3" s="25"/>
      <c r="V3" s="25"/>
      <c r="W3" s="25"/>
      <c r="X3" s="25"/>
      <c r="Y3" s="25"/>
      <c r="Z3" s="25"/>
      <c r="AA3" s="26">
        <v>44941</v>
      </c>
    </row>
    <row r="4" spans="1:43" ht="15.75">
      <c r="A4" s="10"/>
      <c r="B4" s="12" t="s">
        <v>7</v>
      </c>
      <c r="C4" s="27"/>
      <c r="D4" s="25"/>
      <c r="E4" s="59" t="s">
        <v>104</v>
      </c>
      <c r="F4" s="25"/>
      <c r="G4" s="25"/>
      <c r="H4" s="25"/>
      <c r="I4" s="25"/>
      <c r="J4" s="25"/>
      <c r="K4" s="25"/>
      <c r="L4" s="25"/>
      <c r="M4" s="25"/>
      <c r="N4" s="25"/>
      <c r="O4" s="25"/>
      <c r="P4" s="25"/>
      <c r="Q4" s="25"/>
      <c r="R4" s="25"/>
      <c r="S4" s="25"/>
      <c r="T4" s="25"/>
      <c r="U4" s="25"/>
      <c r="V4" s="25"/>
      <c r="W4" s="25"/>
      <c r="X4" s="25"/>
      <c r="Y4" s="25"/>
      <c r="Z4" s="25"/>
      <c r="AA4" s="25"/>
    </row>
    <row r="5" spans="1:43" ht="15">
      <c r="A5" s="10"/>
      <c r="B5" s="11"/>
      <c r="C5" s="25"/>
      <c r="D5" s="25"/>
      <c r="E5" s="25"/>
      <c r="F5" s="25"/>
      <c r="G5" s="25"/>
      <c r="H5" s="25"/>
      <c r="I5" s="25"/>
      <c r="J5" s="25"/>
      <c r="K5" s="25"/>
      <c r="L5" s="25"/>
      <c r="M5" s="25"/>
      <c r="N5" s="25"/>
      <c r="O5" s="25"/>
      <c r="P5" s="25"/>
      <c r="Q5" s="25"/>
      <c r="R5" s="25"/>
      <c r="S5" s="25"/>
      <c r="T5" s="25"/>
      <c r="U5" s="25"/>
      <c r="V5" s="25"/>
      <c r="W5" s="25"/>
      <c r="X5" s="25"/>
      <c r="Y5" s="25"/>
      <c r="Z5" s="25"/>
      <c r="AA5" s="25"/>
    </row>
    <row r="6" spans="1:43" ht="15">
      <c r="A6" s="10"/>
      <c r="B6" s="11"/>
      <c r="C6" s="25"/>
      <c r="D6" s="25"/>
      <c r="E6" s="25"/>
      <c r="F6" s="25"/>
      <c r="G6" s="25"/>
      <c r="H6" s="25"/>
      <c r="I6" s="25"/>
      <c r="J6" s="25"/>
      <c r="K6" s="25"/>
      <c r="L6" s="25"/>
      <c r="M6" s="25"/>
      <c r="N6" s="25"/>
      <c r="O6" s="25"/>
      <c r="P6" s="25"/>
      <c r="Q6" s="25"/>
      <c r="R6" s="25"/>
      <c r="S6" s="25"/>
      <c r="T6" s="25"/>
      <c r="U6" s="25"/>
      <c r="V6" s="25"/>
      <c r="W6" s="25"/>
      <c r="X6" s="25"/>
      <c r="Y6" s="25"/>
      <c r="Z6" s="25"/>
      <c r="AA6" s="25"/>
    </row>
    <row r="7" spans="1:43" ht="15">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row>
    <row r="8" spans="1:43" ht="15">
      <c r="A8" s="10"/>
      <c r="B8" s="11"/>
      <c r="C8" s="25"/>
      <c r="D8" s="25"/>
      <c r="E8" s="25"/>
      <c r="F8" s="25"/>
      <c r="G8" s="25"/>
      <c r="H8" s="25"/>
      <c r="I8" s="25"/>
      <c r="J8" s="25"/>
      <c r="K8" s="25"/>
      <c r="L8" s="25"/>
      <c r="M8" s="25"/>
      <c r="N8" s="25"/>
      <c r="O8" s="25"/>
      <c r="P8" s="25"/>
      <c r="Q8" s="25"/>
      <c r="R8" s="25"/>
      <c r="S8" s="25"/>
      <c r="T8" s="25"/>
      <c r="U8" s="25"/>
      <c r="V8" s="25"/>
      <c r="W8" s="25"/>
      <c r="X8" s="25"/>
      <c r="Y8" s="25"/>
      <c r="Z8" s="25"/>
      <c r="AA8" s="25"/>
    </row>
    <row r="9" spans="1:43" s="21" customFormat="1" ht="15">
      <c r="A9" s="10"/>
      <c r="B9"/>
      <c r="C9" s="28" t="s">
        <v>7</v>
      </c>
      <c r="D9" s="29"/>
      <c r="E9" s="29"/>
      <c r="F9" s="117" t="s">
        <v>33</v>
      </c>
      <c r="G9" s="117"/>
      <c r="H9" s="117"/>
      <c r="I9" s="117"/>
      <c r="J9" s="117"/>
      <c r="K9" s="117"/>
      <c r="L9" s="117"/>
      <c r="M9" s="117"/>
      <c r="N9" s="118"/>
      <c r="O9" s="119" t="s">
        <v>33</v>
      </c>
      <c r="P9" s="117"/>
      <c r="Q9" s="117"/>
      <c r="R9" s="117"/>
      <c r="S9" s="117"/>
      <c r="T9" s="117"/>
      <c r="U9" s="117"/>
      <c r="V9" s="117"/>
      <c r="W9" s="118"/>
      <c r="X9" s="119" t="s">
        <v>57</v>
      </c>
      <c r="Y9" s="117"/>
      <c r="Z9" s="117"/>
      <c r="AA9" s="120"/>
      <c r="AB9" s="10"/>
      <c r="AC9" s="20"/>
      <c r="AD9" s="20"/>
      <c r="AE9" s="20"/>
      <c r="AF9" s="20"/>
      <c r="AG9" s="20"/>
      <c r="AH9" s="20"/>
      <c r="AI9" s="20"/>
      <c r="AJ9" s="20"/>
      <c r="AK9" s="20"/>
      <c r="AL9" s="20"/>
      <c r="AM9" s="20"/>
      <c r="AN9" s="20"/>
      <c r="AO9" s="20"/>
      <c r="AP9" s="20"/>
      <c r="AQ9" s="20"/>
    </row>
    <row r="10" spans="1:43" ht="15.75">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row>
    <row r="11" spans="1:43" s="55" customFormat="1" ht="27" customHeight="1">
      <c r="A11" s="49"/>
      <c r="B11" s="50"/>
      <c r="C11" s="60" t="s">
        <v>29</v>
      </c>
      <c r="D11" s="51"/>
      <c r="E11" s="52"/>
      <c r="F11" s="56">
        <v>2023</v>
      </c>
      <c r="G11" s="53">
        <v>2022</v>
      </c>
      <c r="H11" s="53">
        <v>2021</v>
      </c>
      <c r="I11" s="53">
        <v>2020</v>
      </c>
      <c r="J11" s="53">
        <v>2019</v>
      </c>
      <c r="K11" s="54" t="s">
        <v>66</v>
      </c>
      <c r="L11" s="54" t="s">
        <v>67</v>
      </c>
      <c r="M11" s="54" t="s">
        <v>68</v>
      </c>
      <c r="N11" s="58" t="s">
        <v>106</v>
      </c>
      <c r="O11" s="54">
        <v>2023</v>
      </c>
      <c r="P11" s="54">
        <v>2022</v>
      </c>
      <c r="Q11" s="53">
        <v>2021</v>
      </c>
      <c r="R11" s="53">
        <v>2020</v>
      </c>
      <c r="S11" s="53">
        <v>2019</v>
      </c>
      <c r="T11" s="54" t="s">
        <v>66</v>
      </c>
      <c r="U11" s="54" t="s">
        <v>67</v>
      </c>
      <c r="V11" s="54" t="s">
        <v>68</v>
      </c>
      <c r="W11" s="58" t="s">
        <v>106</v>
      </c>
      <c r="X11" s="54">
        <v>2022</v>
      </c>
      <c r="Y11" s="54">
        <v>2021</v>
      </c>
      <c r="Z11" s="53">
        <v>2020</v>
      </c>
      <c r="AA11" s="78">
        <v>2019</v>
      </c>
      <c r="AB11" s="49"/>
      <c r="AC11" s="49"/>
      <c r="AD11" s="49"/>
      <c r="AE11" s="49"/>
      <c r="AF11" s="49"/>
      <c r="AG11" s="49"/>
      <c r="AH11" s="49"/>
      <c r="AI11" s="49"/>
      <c r="AJ11" s="49"/>
      <c r="AK11" s="49"/>
      <c r="AL11" s="49"/>
      <c r="AM11" s="49"/>
      <c r="AN11" s="49"/>
      <c r="AO11" s="49"/>
      <c r="AP11" s="49"/>
      <c r="AQ11" s="49"/>
    </row>
    <row r="12" spans="1:43" ht="15">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row>
    <row r="13" spans="1:43" ht="15">
      <c r="A13" s="10"/>
      <c r="B13" s="13"/>
      <c r="C13" s="34"/>
      <c r="D13" s="27" t="s">
        <v>5</v>
      </c>
      <c r="E13" s="33"/>
      <c r="F13" s="75">
        <v>69</v>
      </c>
      <c r="G13" s="72">
        <v>64</v>
      </c>
      <c r="H13" s="72">
        <v>0</v>
      </c>
      <c r="I13" s="72">
        <v>61</v>
      </c>
      <c r="J13" s="72">
        <v>76</v>
      </c>
      <c r="K13" s="65">
        <f>IFERROR(F13/G13-1,"n/a")</f>
        <v>7.8125E-2</v>
      </c>
      <c r="L13" s="65" t="str">
        <f t="shared" ref="L13:L31" si="0">IFERROR(F13/H13-1,"n/a")</f>
        <v>n/a</v>
      </c>
      <c r="M13" s="65">
        <f>IFERROR(F13/I13-1,"n/a")</f>
        <v>0.13114754098360648</v>
      </c>
      <c r="N13" s="61">
        <f t="shared" ref="N13:N14" si="1">IFERROR(F13/J13-1,"n/a")</f>
        <v>-9.210526315789469E-2</v>
      </c>
      <c r="O13" s="69">
        <f>F13</f>
        <v>69</v>
      </c>
      <c r="P13" s="69">
        <f t="shared" ref="P13:S14" si="2">G13</f>
        <v>64</v>
      </c>
      <c r="Q13" s="69">
        <f t="shared" si="2"/>
        <v>0</v>
      </c>
      <c r="R13" s="69">
        <f t="shared" si="2"/>
        <v>61</v>
      </c>
      <c r="S13" s="69">
        <f t="shared" si="2"/>
        <v>76</v>
      </c>
      <c r="T13" s="65">
        <f>IFERROR(O13/P13-1,"n/a")</f>
        <v>7.8125E-2</v>
      </c>
      <c r="U13" s="65" t="str">
        <f>IFERROR(O13/Q13-1,"n/a")</f>
        <v>n/a</v>
      </c>
      <c r="V13" s="65">
        <f>IFERROR(O13/R13-1,"n/a")</f>
        <v>0.13114754098360648</v>
      </c>
      <c r="W13" s="61">
        <f>IFERROR(O13/S13-1,"n/a")</f>
        <v>-9.210526315789469E-2</v>
      </c>
      <c r="X13" s="69">
        <v>346</v>
      </c>
      <c r="Y13" s="69">
        <v>111</v>
      </c>
      <c r="Z13" s="71">
        <v>145</v>
      </c>
      <c r="AA13" s="79">
        <v>386</v>
      </c>
    </row>
    <row r="14" spans="1:43" ht="15">
      <c r="A14" s="10"/>
      <c r="B14" s="13"/>
      <c r="C14" s="34"/>
      <c r="D14" s="27" t="s">
        <v>11</v>
      </c>
      <c r="E14" s="33"/>
      <c r="F14" s="75">
        <v>115964</v>
      </c>
      <c r="G14" s="72">
        <v>50794</v>
      </c>
      <c r="H14" s="72">
        <v>0</v>
      </c>
      <c r="I14" s="72">
        <v>108796</v>
      </c>
      <c r="J14" s="72">
        <v>156866</v>
      </c>
      <c r="K14" s="65">
        <f>IFERROR(F14/G14-1,"n/a")</f>
        <v>1.2830255541993147</v>
      </c>
      <c r="L14" s="65" t="str">
        <f t="shared" si="0"/>
        <v>n/a</v>
      </c>
      <c r="M14" s="65">
        <f t="shared" ref="M14" si="3">IFERROR(F14/I14-1,"n/a")</f>
        <v>6.5884775175558019E-2</v>
      </c>
      <c r="N14" s="61">
        <f t="shared" si="1"/>
        <v>-0.2607448395445795</v>
      </c>
      <c r="O14" s="69">
        <f>F14</f>
        <v>115964</v>
      </c>
      <c r="P14" s="69">
        <f t="shared" si="2"/>
        <v>50794</v>
      </c>
      <c r="Q14" s="69">
        <f t="shared" si="2"/>
        <v>0</v>
      </c>
      <c r="R14" s="69">
        <f t="shared" si="2"/>
        <v>108796</v>
      </c>
      <c r="S14" s="69">
        <f t="shared" si="2"/>
        <v>156866</v>
      </c>
      <c r="T14" s="65">
        <f>IFERROR(O14/P14-1,"n/a")</f>
        <v>1.2830255541993147</v>
      </c>
      <c r="U14" s="65" t="str">
        <f>IFERROR(O14/Q14-1,"n/a")</f>
        <v>n/a</v>
      </c>
      <c r="V14" s="65">
        <f>IFERROR(O14/R14-1,"n/a")</f>
        <v>6.5884775175558019E-2</v>
      </c>
      <c r="W14" s="61">
        <f>IFERROR(O14/S14-1,"n/a")</f>
        <v>-0.2607448395445795</v>
      </c>
      <c r="X14" s="69">
        <v>380182</v>
      </c>
      <c r="Y14" s="69">
        <v>80863</v>
      </c>
      <c r="Z14" s="71">
        <v>258885</v>
      </c>
      <c r="AA14" s="79">
        <v>733296</v>
      </c>
    </row>
    <row r="15" spans="1:43" ht="15">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row>
    <row r="16" spans="1:43" ht="15">
      <c r="A16" s="10"/>
      <c r="B16" s="13"/>
      <c r="C16" s="34"/>
      <c r="D16" s="27" t="s">
        <v>5</v>
      </c>
      <c r="E16" s="33"/>
      <c r="F16" s="75">
        <v>23</v>
      </c>
      <c r="G16" s="72">
        <v>16</v>
      </c>
      <c r="H16" s="72">
        <v>0</v>
      </c>
      <c r="I16" s="72">
        <v>19</v>
      </c>
      <c r="J16" s="72">
        <v>24</v>
      </c>
      <c r="K16" s="65">
        <f>IFERROR(F16/G16-1,"n/a")</f>
        <v>0.4375</v>
      </c>
      <c r="L16" s="65" t="str">
        <f t="shared" si="0"/>
        <v>n/a</v>
      </c>
      <c r="M16" s="65">
        <f t="shared" ref="M16:M17" si="4">IFERROR(F16/I16-1,"n/a")</f>
        <v>0.21052631578947367</v>
      </c>
      <c r="N16" s="61">
        <f t="shared" ref="N16:N17" si="5">IFERROR(F16/J16-1,"n/a")</f>
        <v>-4.166666666666663E-2</v>
      </c>
      <c r="O16" s="69">
        <f t="shared" ref="O16:O17" si="6">F16</f>
        <v>23</v>
      </c>
      <c r="P16" s="69">
        <f t="shared" ref="P16:P17" si="7">G16</f>
        <v>16</v>
      </c>
      <c r="Q16" s="69">
        <f t="shared" ref="Q16:Q17" si="8">H16</f>
        <v>0</v>
      </c>
      <c r="R16" s="69">
        <f t="shared" ref="R16:R17" si="9">I16</f>
        <v>19</v>
      </c>
      <c r="S16" s="69">
        <f t="shared" ref="S16:S17" si="10">J16</f>
        <v>24</v>
      </c>
      <c r="T16" s="65">
        <f>IFERROR(O16/P16-1,"n/a")</f>
        <v>0.4375</v>
      </c>
      <c r="U16" s="65" t="str">
        <f t="shared" ref="U16:U17" si="11">IFERROR(O16/Q16-1,"n/a")</f>
        <v>n/a</v>
      </c>
      <c r="V16" s="65">
        <f t="shared" ref="V16:V17" si="12">IFERROR(O16/R16-1,"n/a")</f>
        <v>0.21052631578947367</v>
      </c>
      <c r="W16" s="61">
        <f t="shared" ref="W16:W17" si="13">IFERROR(O16/S16-1,"n/a")</f>
        <v>-4.166666666666663E-2</v>
      </c>
      <c r="X16" s="69">
        <v>778</v>
      </c>
      <c r="Y16" s="69">
        <v>283</v>
      </c>
      <c r="Z16" s="71">
        <v>43</v>
      </c>
      <c r="AA16" s="79">
        <v>827</v>
      </c>
    </row>
    <row r="17" spans="1:51" ht="15">
      <c r="A17" s="10"/>
      <c r="B17" s="13"/>
      <c r="C17" s="34"/>
      <c r="D17" s="27" t="s">
        <v>11</v>
      </c>
      <c r="E17" s="33"/>
      <c r="F17" s="75">
        <v>72958</v>
      </c>
      <c r="G17" s="72">
        <v>21828</v>
      </c>
      <c r="H17" s="72">
        <v>0</v>
      </c>
      <c r="I17" s="72">
        <v>64994</v>
      </c>
      <c r="J17" s="72">
        <v>74523</v>
      </c>
      <c r="K17" s="65">
        <f>IFERROR(F17/G17-1,"n/a")</f>
        <v>2.3424042514201942</v>
      </c>
      <c r="L17" s="65" t="str">
        <f t="shared" si="0"/>
        <v>n/a</v>
      </c>
      <c r="M17" s="65">
        <f t="shared" si="4"/>
        <v>0.1225343877896421</v>
      </c>
      <c r="N17" s="61">
        <f t="shared" si="5"/>
        <v>-2.1000228117493913E-2</v>
      </c>
      <c r="O17" s="69">
        <f t="shared" si="6"/>
        <v>72958</v>
      </c>
      <c r="P17" s="69">
        <f t="shared" si="7"/>
        <v>21828</v>
      </c>
      <c r="Q17" s="69">
        <f t="shared" si="8"/>
        <v>0</v>
      </c>
      <c r="R17" s="69">
        <f t="shared" si="9"/>
        <v>64994</v>
      </c>
      <c r="S17" s="69">
        <f t="shared" si="10"/>
        <v>74523</v>
      </c>
      <c r="T17" s="65">
        <f>IFERROR(O17/P17-1,"n/a")</f>
        <v>2.3424042514201942</v>
      </c>
      <c r="U17" s="65" t="str">
        <f t="shared" si="11"/>
        <v>n/a</v>
      </c>
      <c r="V17" s="65">
        <f t="shared" si="12"/>
        <v>0.1225343877896421</v>
      </c>
      <c r="W17" s="61">
        <f t="shared" si="13"/>
        <v>-2.1000228117493913E-2</v>
      </c>
      <c r="X17" s="69">
        <v>1843624</v>
      </c>
      <c r="Y17" s="69">
        <v>465109</v>
      </c>
      <c r="Z17" s="71">
        <v>140552</v>
      </c>
      <c r="AA17" s="79">
        <v>2552942</v>
      </c>
    </row>
    <row r="18" spans="1:51" ht="15">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row>
    <row r="19" spans="1:51" ht="15">
      <c r="A19" s="10"/>
      <c r="B19" s="13"/>
      <c r="C19" s="34"/>
      <c r="D19" s="27" t="s">
        <v>5</v>
      </c>
      <c r="E19" s="33"/>
      <c r="F19" s="75">
        <v>4</v>
      </c>
      <c r="G19" s="72">
        <v>3</v>
      </c>
      <c r="H19" s="72">
        <v>0</v>
      </c>
      <c r="I19" s="72">
        <v>1</v>
      </c>
      <c r="J19" s="72">
        <v>0</v>
      </c>
      <c r="K19" s="65">
        <f>IFERROR(F19/G19-1,"n/a")</f>
        <v>0.33333333333333326</v>
      </c>
      <c r="L19" s="65" t="str">
        <f t="shared" si="0"/>
        <v>n/a</v>
      </c>
      <c r="M19" s="65">
        <f t="shared" ref="M19:M20" si="14">IFERROR(F19/I19-1,"n/a")</f>
        <v>3</v>
      </c>
      <c r="N19" s="61" t="str">
        <f>IFERROR(F19/J19-1,"n/a")</f>
        <v>n/a</v>
      </c>
      <c r="O19" s="69">
        <f>F19</f>
        <v>4</v>
      </c>
      <c r="P19" s="69">
        <f t="shared" ref="P19:S20" si="15">G19</f>
        <v>3</v>
      </c>
      <c r="Q19" s="69">
        <f t="shared" si="15"/>
        <v>0</v>
      </c>
      <c r="R19" s="69">
        <f t="shared" si="15"/>
        <v>1</v>
      </c>
      <c r="S19" s="69">
        <f t="shared" si="15"/>
        <v>0</v>
      </c>
      <c r="T19" s="65">
        <f>IFERROR(O19/P19-1,"n/a")</f>
        <v>0.33333333333333326</v>
      </c>
      <c r="U19" s="65" t="str">
        <f t="shared" ref="U19:U20" si="16">IFERROR(O19/Q19-1,"n/a")</f>
        <v>n/a</v>
      </c>
      <c r="V19" s="65">
        <f t="shared" ref="V19:V20" si="17">IFERROR(O19/R19-1,"n/a")</f>
        <v>3</v>
      </c>
      <c r="W19" s="61" t="str">
        <f t="shared" ref="W19:W20" si="18">IFERROR(O19/S19-1,"n/a")</f>
        <v>n/a</v>
      </c>
      <c r="X19" s="69">
        <v>475</v>
      </c>
      <c r="Y19" s="69">
        <v>23</v>
      </c>
      <c r="Z19" s="71">
        <v>4</v>
      </c>
      <c r="AA19" s="79">
        <v>191</v>
      </c>
    </row>
    <row r="20" spans="1:51" ht="15">
      <c r="A20" s="10"/>
      <c r="B20" s="13"/>
      <c r="C20" s="34"/>
      <c r="D20" s="27" t="s">
        <v>11</v>
      </c>
      <c r="E20" s="33"/>
      <c r="F20" s="75">
        <v>3235</v>
      </c>
      <c r="G20" s="72">
        <v>814</v>
      </c>
      <c r="H20" s="72">
        <v>0</v>
      </c>
      <c r="I20" s="72">
        <v>823</v>
      </c>
      <c r="J20" s="72">
        <v>0</v>
      </c>
      <c r="K20" s="65">
        <f>IFERROR(F20/G20-1,"n/a")</f>
        <v>2.9742014742014744</v>
      </c>
      <c r="L20" s="65" t="str">
        <f t="shared" si="0"/>
        <v>n/a</v>
      </c>
      <c r="M20" s="65">
        <f t="shared" si="14"/>
        <v>2.9307411907654921</v>
      </c>
      <c r="N20" s="61" t="str">
        <f t="shared" ref="N20:N31" si="19">IFERROR(F20/J20-1,"n/a")</f>
        <v>n/a</v>
      </c>
      <c r="O20" s="69">
        <f>F20</f>
        <v>3235</v>
      </c>
      <c r="P20" s="69">
        <f t="shared" si="15"/>
        <v>814</v>
      </c>
      <c r="Q20" s="69">
        <f t="shared" si="15"/>
        <v>0</v>
      </c>
      <c r="R20" s="69">
        <f t="shared" si="15"/>
        <v>823</v>
      </c>
      <c r="S20" s="69">
        <f t="shared" si="15"/>
        <v>0</v>
      </c>
      <c r="T20" s="65">
        <f>IFERROR(O20/P20-1,"n/a")</f>
        <v>2.9742014742014744</v>
      </c>
      <c r="U20" s="65" t="str">
        <f t="shared" si="16"/>
        <v>n/a</v>
      </c>
      <c r="V20" s="65">
        <f t="shared" si="17"/>
        <v>2.9307411907654921</v>
      </c>
      <c r="W20" s="61" t="str">
        <f t="shared" si="18"/>
        <v>n/a</v>
      </c>
      <c r="X20" s="69">
        <v>561984</v>
      </c>
      <c r="Y20" s="69">
        <v>8611</v>
      </c>
      <c r="Z20" s="71">
        <v>1753</v>
      </c>
      <c r="AA20" s="79">
        <v>254421</v>
      </c>
    </row>
    <row r="21" spans="1:51" ht="15">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row>
    <row r="22" spans="1:51" ht="15">
      <c r="A22" s="10"/>
      <c r="B22" s="13"/>
      <c r="C22" s="34"/>
      <c r="D22" s="27" t="s">
        <v>5</v>
      </c>
      <c r="E22" s="35"/>
      <c r="F22" s="75">
        <v>120</v>
      </c>
      <c r="G22" s="72">
        <v>100</v>
      </c>
      <c r="H22" s="72">
        <v>0</v>
      </c>
      <c r="I22" s="72">
        <v>126</v>
      </c>
      <c r="J22" s="72">
        <v>113</v>
      </c>
      <c r="K22" s="65">
        <f>IFERROR(F22/G22-1,"n/a")</f>
        <v>0.19999999999999996</v>
      </c>
      <c r="L22" s="65" t="str">
        <f t="shared" si="0"/>
        <v>n/a</v>
      </c>
      <c r="M22" s="65">
        <f t="shared" ref="M22:M23" si="20">IFERROR(F22/I22-1,"n/a")</f>
        <v>-4.7619047619047672E-2</v>
      </c>
      <c r="N22" s="61">
        <f t="shared" si="19"/>
        <v>6.1946902654867353E-2</v>
      </c>
      <c r="O22" s="69">
        <f>F22</f>
        <v>120</v>
      </c>
      <c r="P22" s="69">
        <f t="shared" ref="P22:S23" si="21">G22</f>
        <v>100</v>
      </c>
      <c r="Q22" s="69">
        <f t="shared" si="21"/>
        <v>0</v>
      </c>
      <c r="R22" s="69">
        <f t="shared" si="21"/>
        <v>126</v>
      </c>
      <c r="S22" s="69">
        <f t="shared" si="21"/>
        <v>113</v>
      </c>
      <c r="T22" s="65">
        <f>IFERROR(O22/P22-1,"n/a")</f>
        <v>0.19999999999999996</v>
      </c>
      <c r="U22" s="65" t="str">
        <f t="shared" ref="U22:U23" si="22">IFERROR(O22/Q22-1,"n/a")</f>
        <v>n/a</v>
      </c>
      <c r="V22" s="65">
        <f t="shared" ref="V22:V23" si="23">IFERROR(O22/R22-1,"n/a")</f>
        <v>-4.7619047619047672E-2</v>
      </c>
      <c r="W22" s="61">
        <f t="shared" ref="W22:W23" si="24">IFERROR(O22/S22-1,"n/a")</f>
        <v>6.1946902654867353E-2</v>
      </c>
      <c r="X22" s="69">
        <v>1140</v>
      </c>
      <c r="Y22" s="69">
        <v>411</v>
      </c>
      <c r="Z22" s="71">
        <v>406</v>
      </c>
      <c r="AA22" s="79">
        <v>1205</v>
      </c>
    </row>
    <row r="23" spans="1:51" ht="15">
      <c r="A23" s="10"/>
      <c r="B23" s="13"/>
      <c r="C23" s="34"/>
      <c r="D23" s="27" t="s">
        <v>11</v>
      </c>
      <c r="E23" s="33"/>
      <c r="F23" s="75">
        <v>406985</v>
      </c>
      <c r="G23" s="72">
        <v>144818</v>
      </c>
      <c r="H23" s="72">
        <v>0</v>
      </c>
      <c r="I23" s="72">
        <v>357284</v>
      </c>
      <c r="J23" s="72">
        <v>368396</v>
      </c>
      <c r="K23" s="65">
        <f>IFERROR(F23/G23-1,"n/a")</f>
        <v>1.8103205402643319</v>
      </c>
      <c r="L23" s="65" t="str">
        <f t="shared" si="0"/>
        <v>n/a</v>
      </c>
      <c r="M23" s="65">
        <f t="shared" si="20"/>
        <v>0.13910782458772286</v>
      </c>
      <c r="N23" s="61">
        <f t="shared" si="19"/>
        <v>0.10474869433978662</v>
      </c>
      <c r="O23" s="69">
        <f>F23</f>
        <v>406985</v>
      </c>
      <c r="P23" s="69">
        <f t="shared" si="21"/>
        <v>144818</v>
      </c>
      <c r="Q23" s="69">
        <f t="shared" si="21"/>
        <v>0</v>
      </c>
      <c r="R23" s="69">
        <f t="shared" si="21"/>
        <v>357284</v>
      </c>
      <c r="S23" s="69">
        <f t="shared" si="21"/>
        <v>368396</v>
      </c>
      <c r="T23" s="65">
        <f>IFERROR(O23/P23-1,"n/a")</f>
        <v>1.8103205402643319</v>
      </c>
      <c r="U23" s="65" t="str">
        <f t="shared" si="22"/>
        <v>n/a</v>
      </c>
      <c r="V23" s="65">
        <f t="shared" si="23"/>
        <v>0.13910782458772286</v>
      </c>
      <c r="W23" s="61">
        <f t="shared" si="24"/>
        <v>0.10474869433978662</v>
      </c>
      <c r="X23" s="69">
        <v>3212646</v>
      </c>
      <c r="Y23" s="69">
        <v>687449</v>
      </c>
      <c r="Z23" s="71">
        <v>833999</v>
      </c>
      <c r="AA23" s="79">
        <v>3859183</v>
      </c>
    </row>
    <row r="24" spans="1:51" ht="15">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row>
    <row r="25" spans="1:51" ht="15">
      <c r="A25" s="10"/>
      <c r="B25" s="13"/>
      <c r="C25" s="34"/>
      <c r="D25" s="27" t="s">
        <v>5</v>
      </c>
      <c r="E25" s="33"/>
      <c r="F25" s="75">
        <v>4</v>
      </c>
      <c r="G25" s="72">
        <v>3</v>
      </c>
      <c r="H25" s="72">
        <v>1</v>
      </c>
      <c r="I25" s="72">
        <v>5</v>
      </c>
      <c r="J25" s="72">
        <v>4</v>
      </c>
      <c r="K25" s="65">
        <f>IFERROR(F25/G25-1,"n/a")</f>
        <v>0.33333333333333326</v>
      </c>
      <c r="L25" s="65">
        <f t="shared" si="0"/>
        <v>3</v>
      </c>
      <c r="M25" s="65">
        <f t="shared" ref="M25:M26" si="25">IFERROR(F25/I25-1,"n/a")</f>
        <v>-0.19999999999999996</v>
      </c>
      <c r="N25" s="61">
        <f t="shared" si="19"/>
        <v>0</v>
      </c>
      <c r="O25" s="69">
        <f>F25</f>
        <v>4</v>
      </c>
      <c r="P25" s="69">
        <f t="shared" ref="P25:S26" si="26">G25</f>
        <v>3</v>
      </c>
      <c r="Q25" s="69">
        <f t="shared" si="26"/>
        <v>1</v>
      </c>
      <c r="R25" s="69">
        <f t="shared" si="26"/>
        <v>5</v>
      </c>
      <c r="S25" s="69">
        <f t="shared" si="26"/>
        <v>4</v>
      </c>
      <c r="T25" s="65">
        <f>IFERROR(O25/P25-1,"n/a")</f>
        <v>0.33333333333333326</v>
      </c>
      <c r="U25" s="65">
        <f t="shared" ref="U25:U26" si="27">IFERROR(O25/Q25-1,"n/a")</f>
        <v>3</v>
      </c>
      <c r="V25" s="65">
        <f t="shared" ref="V25:V26" si="28">IFERROR(O25/R25-1,"n/a")</f>
        <v>-0.19999999999999996</v>
      </c>
      <c r="W25" s="61">
        <f t="shared" ref="W25:W26" si="29">IFERROR(O25/S25-1,"n/a")</f>
        <v>0</v>
      </c>
      <c r="X25" s="69">
        <v>283</v>
      </c>
      <c r="Y25" s="69">
        <v>107</v>
      </c>
      <c r="Z25" s="71">
        <v>32</v>
      </c>
      <c r="AA25" s="79">
        <v>372</v>
      </c>
    </row>
    <row r="26" spans="1:51" ht="15">
      <c r="A26" s="10"/>
      <c r="B26" s="13"/>
      <c r="C26" s="34"/>
      <c r="D26" s="27" t="s">
        <v>11</v>
      </c>
      <c r="E26" s="33"/>
      <c r="F26" s="75">
        <v>14845</v>
      </c>
      <c r="G26" s="72">
        <v>1702</v>
      </c>
      <c r="H26" s="72">
        <v>644</v>
      </c>
      <c r="I26" s="72">
        <v>23141</v>
      </c>
      <c r="J26" s="72">
        <v>19715</v>
      </c>
      <c r="K26" s="65">
        <f>IFERROR(F26/G26-1,"n/a")</f>
        <v>7.7220916568742659</v>
      </c>
      <c r="L26" s="65">
        <f t="shared" si="0"/>
        <v>22.051242236024844</v>
      </c>
      <c r="M26" s="65">
        <f t="shared" si="25"/>
        <v>-0.35849790415280236</v>
      </c>
      <c r="N26" s="61">
        <f t="shared" si="19"/>
        <v>-0.24702003550595997</v>
      </c>
      <c r="O26" s="69">
        <f>F26</f>
        <v>14845</v>
      </c>
      <c r="P26" s="69">
        <f t="shared" si="26"/>
        <v>1702</v>
      </c>
      <c r="Q26" s="69">
        <f t="shared" si="26"/>
        <v>644</v>
      </c>
      <c r="R26" s="69">
        <f t="shared" si="26"/>
        <v>23141</v>
      </c>
      <c r="S26" s="69">
        <f t="shared" si="26"/>
        <v>19715</v>
      </c>
      <c r="T26" s="65">
        <f>IFERROR(O26/P26-1,"n/a")</f>
        <v>7.7220916568742659</v>
      </c>
      <c r="U26" s="65">
        <f t="shared" si="27"/>
        <v>22.051242236024844</v>
      </c>
      <c r="V26" s="65">
        <f t="shared" si="28"/>
        <v>-0.35849790415280236</v>
      </c>
      <c r="W26" s="61">
        <f t="shared" si="29"/>
        <v>-0.24702003550595997</v>
      </c>
      <c r="X26" s="69">
        <v>530405</v>
      </c>
      <c r="Y26" s="69">
        <v>147132</v>
      </c>
      <c r="Z26" s="71">
        <v>59180</v>
      </c>
      <c r="AA26" s="79">
        <v>902015</v>
      </c>
    </row>
    <row r="27" spans="1:51" ht="15">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row>
    <row r="28" spans="1:51" ht="15">
      <c r="B28" s="13"/>
      <c r="C28" s="34"/>
      <c r="D28" s="27" t="s">
        <v>5</v>
      </c>
      <c r="E28" s="33"/>
      <c r="F28" s="75">
        <f>2+45+38</f>
        <v>85</v>
      </c>
      <c r="G28" s="72">
        <v>0</v>
      </c>
      <c r="H28" s="72">
        <v>1</v>
      </c>
      <c r="I28" s="72">
        <v>0</v>
      </c>
      <c r="J28" s="72">
        <v>1</v>
      </c>
      <c r="K28" s="65" t="str">
        <f>IFERROR(F28/G28-1,"n/a")</f>
        <v>n/a</v>
      </c>
      <c r="L28" s="65">
        <f t="shared" si="0"/>
        <v>84</v>
      </c>
      <c r="M28" s="65" t="str">
        <f t="shared" ref="M28:M31" si="30">IFERROR(F28/I28-1,"n/a")</f>
        <v>n/a</v>
      </c>
      <c r="N28" s="61">
        <f t="shared" si="19"/>
        <v>84</v>
      </c>
      <c r="O28" s="69">
        <f>F28</f>
        <v>85</v>
      </c>
      <c r="P28" s="69">
        <f t="shared" ref="P28:S29" si="31">G28</f>
        <v>0</v>
      </c>
      <c r="Q28" s="69">
        <f t="shared" si="31"/>
        <v>1</v>
      </c>
      <c r="R28" s="69">
        <f t="shared" si="31"/>
        <v>0</v>
      </c>
      <c r="S28" s="69">
        <f t="shared" si="31"/>
        <v>1</v>
      </c>
      <c r="T28" s="65" t="str">
        <f>IFERROR(O28/P28-1,"n/a")</f>
        <v>n/a</v>
      </c>
      <c r="U28" s="65">
        <f t="shared" ref="U28:U31" si="32">IFERROR(O28/Q28-1,"n/a")</f>
        <v>84</v>
      </c>
      <c r="V28" s="65" t="str">
        <f t="shared" ref="V28:V31" si="33">IFERROR(O28/R28-1,"n/a")</f>
        <v>n/a</v>
      </c>
      <c r="W28" s="61">
        <f t="shared" ref="W28:W31" si="34">IFERROR(O28/S28-1,"n/a")</f>
        <v>84</v>
      </c>
      <c r="X28" s="69">
        <v>605</v>
      </c>
      <c r="Y28" s="69">
        <v>127</v>
      </c>
      <c r="Z28" s="71">
        <v>37</v>
      </c>
      <c r="AA28" s="79">
        <f>282+81</f>
        <v>363</v>
      </c>
    </row>
    <row r="29" spans="1:51" ht="15">
      <c r="A29" s="10"/>
      <c r="B29" s="13"/>
      <c r="C29" s="34"/>
      <c r="D29" s="27" t="s">
        <v>11</v>
      </c>
      <c r="E29" s="33"/>
      <c r="F29" s="75">
        <f>1481+148792+625+69047</f>
        <v>219945</v>
      </c>
      <c r="G29" s="72">
        <v>0</v>
      </c>
      <c r="H29" s="72">
        <v>644</v>
      </c>
      <c r="I29" s="72">
        <v>0</v>
      </c>
      <c r="J29" s="72">
        <v>1352</v>
      </c>
      <c r="K29" s="65" t="str">
        <f>IFERROR(F29/G29-1,"n/a")</f>
        <v>n/a</v>
      </c>
      <c r="L29" s="65">
        <f t="shared" si="0"/>
        <v>340.52950310559004</v>
      </c>
      <c r="M29" s="65" t="str">
        <f t="shared" si="30"/>
        <v>n/a</v>
      </c>
      <c r="N29" s="61">
        <f t="shared" si="19"/>
        <v>161.68121301775147</v>
      </c>
      <c r="O29" s="69">
        <f>F29</f>
        <v>219945</v>
      </c>
      <c r="P29" s="69">
        <f t="shared" si="31"/>
        <v>0</v>
      </c>
      <c r="Q29" s="69">
        <f t="shared" si="31"/>
        <v>644</v>
      </c>
      <c r="R29" s="69">
        <f t="shared" si="31"/>
        <v>0</v>
      </c>
      <c r="S29" s="69">
        <f t="shared" si="31"/>
        <v>1352</v>
      </c>
      <c r="T29" s="65" t="str">
        <f>IFERROR(O29/P29-1,"n/a")</f>
        <v>n/a</v>
      </c>
      <c r="U29" s="65">
        <f t="shared" si="32"/>
        <v>340.52950310559004</v>
      </c>
      <c r="V29" s="65" t="str">
        <f t="shared" si="33"/>
        <v>n/a</v>
      </c>
      <c r="W29" s="61">
        <f t="shared" si="34"/>
        <v>161.68121301775147</v>
      </c>
      <c r="X29" s="69">
        <v>1098243</v>
      </c>
      <c r="Y29" s="69">
        <v>165083</v>
      </c>
      <c r="Z29" s="71">
        <f>20768+8294</f>
        <v>29062</v>
      </c>
      <c r="AA29" s="79">
        <f>659951+168729+38484</f>
        <v>867164</v>
      </c>
    </row>
    <row r="30" spans="1:51" ht="15" customHeight="1" thickBot="1">
      <c r="A30" s="10"/>
      <c r="B30" s="13"/>
      <c r="C30" s="36" t="s">
        <v>12</v>
      </c>
      <c r="D30" s="37"/>
      <c r="E30" s="38"/>
      <c r="F30" s="76">
        <f t="shared" ref="F30:J31" si="35">F13+F16+F19+F22+F25+F28</f>
        <v>305</v>
      </c>
      <c r="G30" s="76">
        <f t="shared" ref="G30" si="36">G13+G16+G19+G22+G25+G28</f>
        <v>186</v>
      </c>
      <c r="H30" s="76">
        <f>H13+H16+H19+H22+H25+H28</f>
        <v>2</v>
      </c>
      <c r="I30" s="76">
        <f t="shared" si="35"/>
        <v>212</v>
      </c>
      <c r="J30" s="76">
        <f t="shared" si="35"/>
        <v>218</v>
      </c>
      <c r="K30" s="67">
        <f>IFERROR(F30/G30-1,"n/a")</f>
        <v>0.63978494623655924</v>
      </c>
      <c r="L30" s="67">
        <f t="shared" si="0"/>
        <v>151.5</v>
      </c>
      <c r="M30" s="67">
        <f t="shared" si="30"/>
        <v>0.43867924528301883</v>
      </c>
      <c r="N30" s="63">
        <f t="shared" si="19"/>
        <v>0.39908256880733939</v>
      </c>
      <c r="O30" s="47">
        <f t="shared" ref="O30:S31" si="37">O13+O16+O19+O22+O25+O28</f>
        <v>305</v>
      </c>
      <c r="P30" s="47">
        <f t="shared" ref="P30" si="38">P13+P16+P19+P22+P25+P28</f>
        <v>186</v>
      </c>
      <c r="Q30" s="47">
        <f t="shared" si="37"/>
        <v>2</v>
      </c>
      <c r="R30" s="47">
        <f t="shared" si="37"/>
        <v>212</v>
      </c>
      <c r="S30" s="47">
        <f t="shared" si="37"/>
        <v>218</v>
      </c>
      <c r="T30" s="67">
        <f>IFERROR(O30/P30-1,"n/a")</f>
        <v>0.63978494623655924</v>
      </c>
      <c r="U30" s="67">
        <f t="shared" si="32"/>
        <v>151.5</v>
      </c>
      <c r="V30" s="67">
        <f t="shared" si="33"/>
        <v>0.43867924528301883</v>
      </c>
      <c r="W30" s="63">
        <f t="shared" si="34"/>
        <v>0.39908256880733939</v>
      </c>
      <c r="X30" s="47">
        <f t="shared" ref="X30:AA31" si="39">X13+X16+X19+X22+X25+X28</f>
        <v>3627</v>
      </c>
      <c r="Y30" s="47">
        <f t="shared" ref="Y30" si="40">Y13+Y16+Y19+Y22+Y25+Y28</f>
        <v>1062</v>
      </c>
      <c r="Z30" s="47">
        <f t="shared" si="39"/>
        <v>667</v>
      </c>
      <c r="AA30" s="81">
        <f t="shared" si="39"/>
        <v>3344</v>
      </c>
    </row>
    <row r="31" spans="1:51" s="23" customFormat="1" ht="15" customHeight="1" thickTop="1" thickBot="1">
      <c r="A31" s="10"/>
      <c r="B31" s="13"/>
      <c r="C31" s="39" t="s">
        <v>13</v>
      </c>
      <c r="D31" s="40"/>
      <c r="E31" s="41"/>
      <c r="F31" s="77">
        <f t="shared" si="35"/>
        <v>833932</v>
      </c>
      <c r="G31" s="77">
        <f t="shared" ref="G31" si="41">G14+G17+G20+G23+G26+G29</f>
        <v>219956</v>
      </c>
      <c r="H31" s="77">
        <f t="shared" si="35"/>
        <v>1288</v>
      </c>
      <c r="I31" s="77">
        <f t="shared" si="35"/>
        <v>555038</v>
      </c>
      <c r="J31" s="77">
        <f t="shared" si="35"/>
        <v>620852</v>
      </c>
      <c r="K31" s="68">
        <f>IFERROR(F31/G31-1,"n/a")</f>
        <v>2.7913582716543308</v>
      </c>
      <c r="L31" s="68">
        <f t="shared" si="0"/>
        <v>646.46273291925468</v>
      </c>
      <c r="M31" s="68">
        <f t="shared" si="30"/>
        <v>0.50247730786000244</v>
      </c>
      <c r="N31" s="64">
        <f t="shared" si="19"/>
        <v>0.3432057881749595</v>
      </c>
      <c r="O31" s="48">
        <f t="shared" si="37"/>
        <v>833932</v>
      </c>
      <c r="P31" s="48">
        <f t="shared" ref="P31" si="42">P14+P17+P20+P23+P26+P29</f>
        <v>219956</v>
      </c>
      <c r="Q31" s="48">
        <f t="shared" si="37"/>
        <v>1288</v>
      </c>
      <c r="R31" s="48">
        <f t="shared" si="37"/>
        <v>555038</v>
      </c>
      <c r="S31" s="48">
        <f t="shared" si="37"/>
        <v>620852</v>
      </c>
      <c r="T31" s="68">
        <f>IFERROR(O31/P31-1,"n/a")</f>
        <v>2.7913582716543308</v>
      </c>
      <c r="U31" s="68">
        <f t="shared" si="32"/>
        <v>646.46273291925468</v>
      </c>
      <c r="V31" s="68">
        <f t="shared" si="33"/>
        <v>0.50247730786000244</v>
      </c>
      <c r="W31" s="64">
        <f t="shared" si="34"/>
        <v>0.3432057881749595</v>
      </c>
      <c r="X31" s="48">
        <f t="shared" si="39"/>
        <v>7627084</v>
      </c>
      <c r="Y31" s="48">
        <f t="shared" ref="Y31" si="43">Y14+Y17+Y20+Y23+Y26+Y29</f>
        <v>1554247</v>
      </c>
      <c r="Z31" s="48">
        <f t="shared" si="39"/>
        <v>1323431</v>
      </c>
      <c r="AA31" s="82">
        <f t="shared" si="39"/>
        <v>9169021</v>
      </c>
      <c r="AB31" s="10"/>
      <c r="AC31" s="22"/>
      <c r="AD31" s="22"/>
      <c r="AE31" s="22"/>
      <c r="AF31" s="22"/>
      <c r="AG31" s="22"/>
      <c r="AH31" s="22"/>
      <c r="AI31" s="22"/>
      <c r="AJ31" s="22"/>
      <c r="AK31" s="22"/>
      <c r="AL31" s="22"/>
      <c r="AM31" s="22"/>
      <c r="AN31" s="22"/>
      <c r="AO31" s="22"/>
      <c r="AP31" s="22"/>
      <c r="AQ31" s="22"/>
    </row>
    <row r="32" spans="1:51" s="10" customFormat="1" ht="15" customHeight="1" thickTop="1">
      <c r="F32" s="42"/>
      <c r="G32" s="42"/>
      <c r="H32" s="42"/>
      <c r="I32" s="42"/>
      <c r="J32" s="42"/>
      <c r="K32" s="42"/>
      <c r="L32" s="42"/>
      <c r="M32" s="42"/>
      <c r="AR32"/>
      <c r="AS32"/>
      <c r="AT32"/>
      <c r="AU32"/>
      <c r="AV32"/>
      <c r="AW32"/>
      <c r="AX32"/>
      <c r="AY32"/>
    </row>
    <row r="33" spans="2:51" s="10" customFormat="1" ht="22.9" customHeight="1">
      <c r="F33" s="42"/>
      <c r="G33" s="42"/>
      <c r="H33" s="42"/>
      <c r="I33" s="42"/>
      <c r="J33" s="42"/>
      <c r="K33" s="42"/>
      <c r="L33" s="42"/>
      <c r="M33" s="42"/>
      <c r="AR33"/>
      <c r="AS33"/>
      <c r="AT33"/>
      <c r="AU33"/>
      <c r="AV33"/>
      <c r="AW33"/>
      <c r="AX33"/>
      <c r="AY33"/>
    </row>
    <row r="34" spans="2:51" s="10" customFormat="1" ht="15">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R34"/>
      <c r="AS34"/>
      <c r="AT34"/>
      <c r="AU34"/>
      <c r="AV34"/>
      <c r="AW34"/>
      <c r="AX34"/>
      <c r="AY34"/>
    </row>
    <row r="35" spans="2:51" s="10" customFormat="1" ht="15">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R35"/>
      <c r="AS35"/>
      <c r="AT35"/>
      <c r="AU35"/>
      <c r="AV35"/>
      <c r="AW35"/>
      <c r="AX35"/>
      <c r="AY35"/>
    </row>
    <row r="36" spans="2:51" s="10" customFormat="1" ht="15" customHeight="1">
      <c r="C36" s="28" t="s">
        <v>7</v>
      </c>
      <c r="D36" s="29"/>
      <c r="E36" s="29"/>
      <c r="F36" s="117" t="str">
        <f>F9</f>
        <v>January</v>
      </c>
      <c r="G36" s="117"/>
      <c r="H36" s="117"/>
      <c r="I36" s="117"/>
      <c r="J36" s="117"/>
      <c r="K36" s="117"/>
      <c r="L36" s="117"/>
      <c r="M36" s="117"/>
      <c r="N36" s="118"/>
      <c r="O36" s="119" t="s">
        <v>105</v>
      </c>
      <c r="P36" s="117"/>
      <c r="Q36" s="117"/>
      <c r="R36" s="117"/>
      <c r="S36" s="117"/>
      <c r="T36" s="117"/>
      <c r="U36" s="117"/>
      <c r="V36" s="117"/>
      <c r="W36" s="118"/>
      <c r="X36" s="119" t="s">
        <v>58</v>
      </c>
      <c r="Y36" s="117"/>
      <c r="Z36" s="117"/>
      <c r="AA36" s="120"/>
      <c r="AR36"/>
      <c r="AS36"/>
      <c r="AT36"/>
      <c r="AU36"/>
      <c r="AV36"/>
      <c r="AW36"/>
      <c r="AX36"/>
      <c r="AY36"/>
    </row>
    <row r="37" spans="2:51" s="10" customFormat="1" ht="15" customHeight="1">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R37"/>
      <c r="AS37"/>
      <c r="AT37"/>
      <c r="AU37"/>
      <c r="AV37"/>
      <c r="AW37"/>
      <c r="AX37"/>
      <c r="AY37"/>
    </row>
    <row r="38" spans="2:51" s="10" customFormat="1" ht="33.6" customHeight="1">
      <c r="C38" s="60" t="s">
        <v>29</v>
      </c>
      <c r="D38" s="51"/>
      <c r="E38" s="52"/>
      <c r="F38" s="56">
        <v>2023</v>
      </c>
      <c r="G38" s="53">
        <v>2022</v>
      </c>
      <c r="H38" s="53">
        <v>2021</v>
      </c>
      <c r="I38" s="53">
        <v>2020</v>
      </c>
      <c r="J38" s="53">
        <v>2019</v>
      </c>
      <c r="K38" s="54" t="s">
        <v>66</v>
      </c>
      <c r="L38" s="54" t="s">
        <v>67</v>
      </c>
      <c r="M38" s="54" t="s">
        <v>68</v>
      </c>
      <c r="N38" s="58" t="s">
        <v>106</v>
      </c>
      <c r="O38" s="54"/>
      <c r="P38" s="54" t="s">
        <v>53</v>
      </c>
      <c r="Q38" s="53" t="s">
        <v>54</v>
      </c>
      <c r="R38" s="53" t="s">
        <v>59</v>
      </c>
      <c r="S38" s="53" t="s">
        <v>64</v>
      </c>
      <c r="T38" s="53"/>
      <c r="U38" s="54" t="s">
        <v>66</v>
      </c>
      <c r="V38" s="54" t="s">
        <v>67</v>
      </c>
      <c r="W38" s="58" t="s">
        <v>68</v>
      </c>
      <c r="X38" s="54" t="s">
        <v>54</v>
      </c>
      <c r="Y38" s="54"/>
      <c r="Z38" s="54" t="s">
        <v>65</v>
      </c>
      <c r="AA38" s="58" t="s">
        <v>73</v>
      </c>
    </row>
    <row r="39" spans="2:51" s="10" customFormat="1" ht="15" customHeight="1">
      <c r="C39" s="32" t="s">
        <v>14</v>
      </c>
      <c r="D39" s="27"/>
      <c r="E39" s="33"/>
      <c r="F39" s="27"/>
      <c r="G39" s="27"/>
      <c r="H39" s="27"/>
      <c r="I39" s="27"/>
      <c r="J39" s="27"/>
      <c r="K39" s="27"/>
      <c r="L39" s="27"/>
      <c r="M39" s="27"/>
      <c r="N39" s="33"/>
      <c r="O39" s="27"/>
      <c r="P39" s="27"/>
      <c r="Q39" s="27"/>
      <c r="R39" s="27"/>
      <c r="T39" s="27"/>
      <c r="V39" s="27"/>
      <c r="W39" s="33"/>
      <c r="X39" s="34"/>
      <c r="Y39" s="27"/>
      <c r="Z39" s="89"/>
      <c r="AA39" s="86"/>
    </row>
    <row r="40" spans="2:51" s="10" customFormat="1" ht="15" customHeight="1">
      <c r="C40" s="34"/>
      <c r="D40" s="27" t="s">
        <v>5</v>
      </c>
      <c r="E40" s="33"/>
      <c r="F40" s="75">
        <f t="shared" ref="F40:J41" si="44">F13</f>
        <v>69</v>
      </c>
      <c r="G40" s="75">
        <f t="shared" ref="G40" si="45">G13</f>
        <v>64</v>
      </c>
      <c r="H40" s="75">
        <f t="shared" si="44"/>
        <v>0</v>
      </c>
      <c r="I40" s="75">
        <f t="shared" si="44"/>
        <v>61</v>
      </c>
      <c r="J40" s="75">
        <f t="shared" si="44"/>
        <v>76</v>
      </c>
      <c r="K40" s="65">
        <f>IFERROR(F40/G40-1,"n/a")</f>
        <v>7.8125E-2</v>
      </c>
      <c r="L40" s="65" t="str">
        <f t="shared" ref="L40:L41" si="46">IFERROR(F40/H40-1,"n/a")</f>
        <v>n/a</v>
      </c>
      <c r="M40" s="65">
        <f>IFERROR(F40/I40-1,"n/a")</f>
        <v>0.13114754098360648</v>
      </c>
      <c r="N40" s="61">
        <f t="shared" ref="N40:N41" si="47">IFERROR(F40/J40-1,"n/a")</f>
        <v>-9.210526315789469E-2</v>
      </c>
      <c r="O40" s="113"/>
      <c r="P40" s="71">
        <f>+O13-'Mar-22'!M10+'Dec-22'!M13</f>
        <v>218</v>
      </c>
      <c r="Q40" s="71">
        <f>+P13-'Mar-22'!N10+'Dec-22'!N13</f>
        <v>175</v>
      </c>
      <c r="R40" s="83">
        <f>+Q13-'Mar-22'!O10+'Dec-22'!O13</f>
        <v>0</v>
      </c>
      <c r="S40" s="71">
        <f>+R13-'Mar-22'!P10+'Dec-22'!P13</f>
        <v>247</v>
      </c>
      <c r="T40" s="113"/>
      <c r="U40" s="65">
        <f>IFERROR(P40/Q40-1,"n/a")</f>
        <v>0.24571428571428577</v>
      </c>
      <c r="V40" s="65" t="str">
        <f>IFERROR(P40/R40-1,"n/a")</f>
        <v>n/a</v>
      </c>
      <c r="W40" s="61">
        <f>IFERROR(P40/S40-1,"n/a")</f>
        <v>-0.11740890688259109</v>
      </c>
      <c r="X40" s="90">
        <v>308</v>
      </c>
      <c r="Y40" s="90"/>
      <c r="Z40" s="71">
        <v>145</v>
      </c>
      <c r="AA40" s="79">
        <v>331</v>
      </c>
    </row>
    <row r="41" spans="2:51" s="10" customFormat="1" ht="15" customHeight="1">
      <c r="C41" s="34"/>
      <c r="D41" s="27" t="s">
        <v>11</v>
      </c>
      <c r="E41" s="33"/>
      <c r="F41" s="75">
        <f t="shared" si="44"/>
        <v>115964</v>
      </c>
      <c r="G41" s="75">
        <f t="shared" ref="G41" si="48">G14</f>
        <v>50794</v>
      </c>
      <c r="H41" s="75">
        <f t="shared" si="44"/>
        <v>0</v>
      </c>
      <c r="I41" s="75">
        <f t="shared" si="44"/>
        <v>108796</v>
      </c>
      <c r="J41" s="75">
        <f t="shared" si="44"/>
        <v>156866</v>
      </c>
      <c r="K41" s="65">
        <f>IFERROR(F41/G41-1,"n/a")</f>
        <v>1.2830255541993147</v>
      </c>
      <c r="L41" s="65" t="str">
        <f t="shared" si="46"/>
        <v>n/a</v>
      </c>
      <c r="M41" s="65">
        <f t="shared" ref="M41" si="49">IFERROR(F41/I41-1,"n/a")</f>
        <v>6.5884775175558019E-2</v>
      </c>
      <c r="N41" s="61">
        <f t="shared" si="47"/>
        <v>-0.2607448395445795</v>
      </c>
      <c r="O41" s="114"/>
      <c r="P41" s="71">
        <f>+O14-'Mar-22'!M11+'Dec-22'!M14</f>
        <v>339818</v>
      </c>
      <c r="Q41" s="83">
        <f>+P14-'Mar-22'!N11+'Dec-22'!N14</f>
        <v>131657</v>
      </c>
      <c r="R41" s="83">
        <f>+Q14-'Mar-22'!O11+'Dec-22'!O14</f>
        <v>0</v>
      </c>
      <c r="S41" s="83">
        <f>+R14-'Mar-22'!P11+'Dec-22'!P14</f>
        <v>456712</v>
      </c>
      <c r="T41" s="114"/>
      <c r="U41" s="65">
        <f>IFERROR(P41/Q41-1,"n/a")</f>
        <v>1.5810856999627823</v>
      </c>
      <c r="V41" s="65" t="str">
        <f>IFERROR(P41/R41-1,"n/a")</f>
        <v>n/a</v>
      </c>
      <c r="W41" s="61">
        <f>IFERROR(P41/S41-1,"n/a")</f>
        <v>-0.25594685491075342</v>
      </c>
      <c r="X41" s="90">
        <v>237191</v>
      </c>
      <c r="Y41" s="90"/>
      <c r="Z41" s="85">
        <v>258885</v>
      </c>
      <c r="AA41" s="79">
        <v>606801</v>
      </c>
    </row>
    <row r="42" spans="2:51" s="10" customFormat="1" ht="15" customHeight="1">
      <c r="C42" s="32" t="s">
        <v>20</v>
      </c>
      <c r="D42" s="27"/>
      <c r="E42" s="33"/>
      <c r="F42" s="27"/>
      <c r="G42" s="27"/>
      <c r="H42" s="27"/>
      <c r="I42" s="27"/>
      <c r="J42" s="27"/>
      <c r="K42" s="65"/>
      <c r="L42" s="65"/>
      <c r="M42" s="65"/>
      <c r="N42" s="62"/>
      <c r="O42" s="115"/>
      <c r="P42" s="88"/>
      <c r="Q42" s="88"/>
      <c r="R42" s="88"/>
      <c r="S42" s="88"/>
      <c r="T42" s="115"/>
      <c r="U42" s="66"/>
      <c r="V42" s="66"/>
      <c r="W42" s="62"/>
      <c r="X42" s="91"/>
      <c r="Y42" s="91"/>
      <c r="Z42" s="45"/>
      <c r="AA42" s="80"/>
    </row>
    <row r="43" spans="2:51" s="10" customFormat="1" ht="15" customHeight="1">
      <c r="C43" s="34"/>
      <c r="D43" s="27" t="s">
        <v>5</v>
      </c>
      <c r="E43" s="33"/>
      <c r="F43" s="75">
        <f t="shared" ref="F43:J44" si="50">F16</f>
        <v>23</v>
      </c>
      <c r="G43" s="75">
        <f t="shared" ref="G43" si="51">G16</f>
        <v>16</v>
      </c>
      <c r="H43" s="75">
        <f t="shared" si="50"/>
        <v>0</v>
      </c>
      <c r="I43" s="75">
        <f t="shared" si="50"/>
        <v>19</v>
      </c>
      <c r="J43" s="75">
        <f t="shared" si="50"/>
        <v>24</v>
      </c>
      <c r="K43" s="65">
        <f>IFERROR(F43/G43-1,"n/a")</f>
        <v>0.4375</v>
      </c>
      <c r="L43" s="65" t="str">
        <f t="shared" ref="L43:L44" si="52">IFERROR(F43/H43-1,"n/a")</f>
        <v>n/a</v>
      </c>
      <c r="M43" s="65">
        <f t="shared" ref="M43:M44" si="53">IFERROR(F43/I43-1,"n/a")</f>
        <v>0.21052631578947367</v>
      </c>
      <c r="N43" s="61">
        <f t="shared" ref="N43:N44" si="54">IFERROR(F43/J43-1,"n/a")</f>
        <v>-4.166666666666663E-2</v>
      </c>
      <c r="O43" s="113"/>
      <c r="P43" s="71">
        <f>+O16-'Mar-22'!M13+'Dec-22'!M16</f>
        <v>748</v>
      </c>
      <c r="Q43" s="71">
        <f>+P16-'Mar-22'!N13+'Dec-22'!N16</f>
        <v>299</v>
      </c>
      <c r="R43" s="71">
        <f>+Q16-'Mar-22'!O13+'Dec-22'!O16</f>
        <v>0</v>
      </c>
      <c r="S43" s="71">
        <f>+R16-'Mar-22'!P13+'Dec-22'!P16</f>
        <v>757</v>
      </c>
      <c r="T43" s="113"/>
      <c r="U43" s="65">
        <f t="shared" ref="U43:U44" si="55">IFERROR(P43/Q43-1,"n/a")</f>
        <v>1.5016722408026757</v>
      </c>
      <c r="V43" s="65" t="str">
        <f t="shared" ref="V43:V44" si="56">IFERROR(P43/R43-1,"n/a")</f>
        <v>n/a</v>
      </c>
      <c r="W43" s="61">
        <f t="shared" ref="W43:W44" si="57">IFERROR(P43/S43-1,"n/a")</f>
        <v>-1.1889035667106973E-2</v>
      </c>
      <c r="X43" s="90">
        <v>336</v>
      </c>
      <c r="Y43" s="90"/>
      <c r="Z43" s="71">
        <v>43</v>
      </c>
      <c r="AA43" s="79">
        <v>781</v>
      </c>
    </row>
    <row r="44" spans="2:51" s="10" customFormat="1" ht="15" customHeight="1">
      <c r="C44" s="34"/>
      <c r="D44" s="27" t="s">
        <v>11</v>
      </c>
      <c r="E44" s="33"/>
      <c r="F44" s="75">
        <f t="shared" si="50"/>
        <v>72958</v>
      </c>
      <c r="G44" s="75">
        <f t="shared" ref="G44" si="58">G17</f>
        <v>21828</v>
      </c>
      <c r="H44" s="75">
        <f t="shared" si="50"/>
        <v>0</v>
      </c>
      <c r="I44" s="75">
        <f t="shared" si="50"/>
        <v>64994</v>
      </c>
      <c r="J44" s="75">
        <f t="shared" si="50"/>
        <v>74523</v>
      </c>
      <c r="K44" s="65">
        <f>IFERROR(F44/G44-1,"n/a")</f>
        <v>2.3424042514201942</v>
      </c>
      <c r="L44" s="65" t="str">
        <f t="shared" si="52"/>
        <v>n/a</v>
      </c>
      <c r="M44" s="65">
        <f t="shared" si="53"/>
        <v>0.1225343877896421</v>
      </c>
      <c r="N44" s="61">
        <f t="shared" si="54"/>
        <v>-2.1000228117493913E-2</v>
      </c>
      <c r="O44" s="114"/>
      <c r="P44" s="71">
        <f>+O17-'Mar-22'!M14+'Dec-22'!M17</f>
        <v>1848128</v>
      </c>
      <c r="Q44" s="71">
        <f>+P17-'Mar-22'!N14+'Dec-22'!N17</f>
        <v>486937</v>
      </c>
      <c r="R44" s="71">
        <f>+Q17-'Mar-22'!O14+'Dec-22'!O17</f>
        <v>0</v>
      </c>
      <c r="S44" s="71">
        <f>+R17-'Mar-22'!P14+'Dec-22'!P17</f>
        <v>2366036</v>
      </c>
      <c r="T44" s="113"/>
      <c r="U44" s="65">
        <f t="shared" si="55"/>
        <v>2.7954150126197024</v>
      </c>
      <c r="V44" s="65" t="str">
        <f t="shared" si="56"/>
        <v>n/a</v>
      </c>
      <c r="W44" s="61">
        <f t="shared" si="57"/>
        <v>-0.2188926964763005</v>
      </c>
      <c r="X44" s="90">
        <v>533563</v>
      </c>
      <c r="Y44" s="90"/>
      <c r="Z44" s="85">
        <v>140552</v>
      </c>
      <c r="AA44" s="79">
        <v>2441594</v>
      </c>
    </row>
    <row r="45" spans="2:51" s="10" customFormat="1" ht="15" customHeight="1">
      <c r="C45" s="32" t="s">
        <v>15</v>
      </c>
      <c r="D45" s="27"/>
      <c r="E45" s="33"/>
      <c r="F45" s="88"/>
      <c r="G45" s="88"/>
      <c r="H45" s="88"/>
      <c r="I45" s="88"/>
      <c r="J45" s="73"/>
      <c r="K45" s="65"/>
      <c r="L45" s="65"/>
      <c r="M45" s="65"/>
      <c r="N45" s="61"/>
      <c r="O45" s="115"/>
      <c r="P45" s="88"/>
      <c r="Q45" s="88"/>
      <c r="R45" s="88"/>
      <c r="S45" s="88"/>
      <c r="T45" s="115"/>
      <c r="U45" s="65"/>
      <c r="V45" s="65"/>
      <c r="W45" s="61"/>
      <c r="X45" s="91"/>
      <c r="Y45" s="91"/>
      <c r="Z45" s="45"/>
      <c r="AA45" s="80"/>
    </row>
    <row r="46" spans="2:51" s="10" customFormat="1" ht="15" customHeight="1">
      <c r="C46" s="34"/>
      <c r="D46" s="27" t="s">
        <v>5</v>
      </c>
      <c r="E46" s="33"/>
      <c r="F46" s="75">
        <f t="shared" ref="F46:J47" si="59">F19</f>
        <v>4</v>
      </c>
      <c r="G46" s="75">
        <f t="shared" ref="G46" si="60">G19</f>
        <v>3</v>
      </c>
      <c r="H46" s="75">
        <f t="shared" si="59"/>
        <v>0</v>
      </c>
      <c r="I46" s="75">
        <f t="shared" si="59"/>
        <v>1</v>
      </c>
      <c r="J46" s="75">
        <f t="shared" si="59"/>
        <v>0</v>
      </c>
      <c r="K46" s="65">
        <f>IFERROR(F46/G46-1,"n/a")</f>
        <v>0.33333333333333326</v>
      </c>
      <c r="L46" s="65" t="str">
        <f t="shared" ref="L46:L47" si="61">IFERROR(F46/H46-1,"n/a")</f>
        <v>n/a</v>
      </c>
      <c r="M46" s="65">
        <f t="shared" ref="M46:M47" si="62">IFERROR(F46/I46-1,"n/a")</f>
        <v>3</v>
      </c>
      <c r="N46" s="61" t="str">
        <f>IFERROR(F46/J46-1,"n/a")</f>
        <v>n/a</v>
      </c>
      <c r="O46" s="113"/>
      <c r="P46" s="71">
        <f>+O19-'Mar-22'!M16+'Dec-22'!M19</f>
        <v>469</v>
      </c>
      <c r="Q46" s="71">
        <f>+P19-'Mar-22'!N16+'Dec-22'!N19</f>
        <v>26</v>
      </c>
      <c r="R46" s="71">
        <f>+Q19-'Mar-22'!O16+'Dec-22'!O19</f>
        <v>1</v>
      </c>
      <c r="S46" s="71">
        <f>+R19-'Mar-22'!P16+'Dec-22'!P19</f>
        <v>186</v>
      </c>
      <c r="T46" s="113"/>
      <c r="U46" s="65">
        <f t="shared" ref="U46:U47" si="63">IFERROR(P46/Q46-1,"n/a")</f>
        <v>17.03846153846154</v>
      </c>
      <c r="V46" s="65">
        <f t="shared" ref="V46:V47" si="64">IFERROR(P46/R46-1,"n/a")</f>
        <v>468</v>
      </c>
      <c r="W46" s="61">
        <f t="shared" ref="W46:W47" si="65">IFERROR(P46/S46-1,"n/a")</f>
        <v>1.521505376344086</v>
      </c>
      <c r="X46" s="90">
        <v>33</v>
      </c>
      <c r="Y46" s="90"/>
      <c r="Z46" s="71">
        <v>4</v>
      </c>
      <c r="AA46" s="79">
        <v>188</v>
      </c>
    </row>
    <row r="47" spans="2:51" s="10" customFormat="1" ht="15" customHeight="1">
      <c r="C47" s="34"/>
      <c r="D47" s="27" t="s">
        <v>11</v>
      </c>
      <c r="E47" s="33"/>
      <c r="F47" s="75">
        <f t="shared" si="59"/>
        <v>3235</v>
      </c>
      <c r="G47" s="75">
        <f t="shared" ref="G47" si="66">G20</f>
        <v>814</v>
      </c>
      <c r="H47" s="75">
        <f t="shared" si="59"/>
        <v>0</v>
      </c>
      <c r="I47" s="75">
        <f t="shared" si="59"/>
        <v>823</v>
      </c>
      <c r="J47" s="75">
        <f t="shared" si="59"/>
        <v>0</v>
      </c>
      <c r="K47" s="65">
        <f>IFERROR(F47/G47-1,"n/a")</f>
        <v>2.9742014742014744</v>
      </c>
      <c r="L47" s="65" t="str">
        <f t="shared" si="61"/>
        <v>n/a</v>
      </c>
      <c r="M47" s="65">
        <f t="shared" si="62"/>
        <v>2.9307411907654921</v>
      </c>
      <c r="N47" s="61" t="str">
        <f t="shared" ref="N47" si="67">IFERROR(F47/J47-1,"n/a")</f>
        <v>n/a</v>
      </c>
      <c r="O47" s="114"/>
      <c r="P47" s="71">
        <f>+O20-'Mar-22'!M17+'Dec-22'!M20</f>
        <v>563747</v>
      </c>
      <c r="Q47" s="71">
        <f>+P20-'Mar-22'!N17+'Dec-22'!N20</f>
        <v>9425</v>
      </c>
      <c r="R47" s="71">
        <f>+Q20-'Mar-22'!O17+'Dec-22'!O20</f>
        <v>111</v>
      </c>
      <c r="S47" s="71">
        <f>+R20-'Mar-22'!P17+'Dec-22'!P20</f>
        <v>250106</v>
      </c>
      <c r="T47" s="113"/>
      <c r="U47" s="65">
        <f t="shared" si="63"/>
        <v>58.814005305039785</v>
      </c>
      <c r="V47" s="65">
        <f t="shared" si="64"/>
        <v>5077.801801801802</v>
      </c>
      <c r="W47" s="61">
        <f t="shared" si="65"/>
        <v>1.2540322903089089</v>
      </c>
      <c r="X47" s="83">
        <v>10083</v>
      </c>
      <c r="Y47" s="83"/>
      <c r="Z47" s="85">
        <v>1753</v>
      </c>
      <c r="AA47" s="79">
        <f>176097+74816</f>
        <v>250913</v>
      </c>
    </row>
    <row r="48" spans="2:51" s="10" customFormat="1" ht="15" customHeight="1">
      <c r="C48" s="32" t="s">
        <v>10</v>
      </c>
      <c r="D48" s="27"/>
      <c r="E48" s="35"/>
      <c r="F48" s="73"/>
      <c r="G48" s="73"/>
      <c r="H48" s="73"/>
      <c r="I48" s="73"/>
      <c r="J48" s="73"/>
      <c r="K48" s="65"/>
      <c r="L48" s="65"/>
      <c r="M48" s="65"/>
      <c r="N48" s="61"/>
      <c r="O48" s="115"/>
      <c r="P48" s="88"/>
      <c r="Q48" s="88"/>
      <c r="R48" s="88"/>
      <c r="S48" s="88"/>
      <c r="T48" s="115"/>
      <c r="U48" s="65"/>
      <c r="V48" s="65"/>
      <c r="W48" s="61"/>
      <c r="X48" s="91"/>
      <c r="Y48" s="91"/>
      <c r="Z48" s="45"/>
      <c r="AA48" s="80"/>
    </row>
    <row r="49" spans="1:51" s="10" customFormat="1" ht="15" customHeight="1">
      <c r="C49" s="34"/>
      <c r="D49" s="27" t="s">
        <v>5</v>
      </c>
      <c r="E49" s="35"/>
      <c r="F49" s="75">
        <f t="shared" ref="F49:J50" si="68">F22</f>
        <v>120</v>
      </c>
      <c r="G49" s="75">
        <f t="shared" ref="G49" si="69">G22</f>
        <v>100</v>
      </c>
      <c r="H49" s="75">
        <f t="shared" si="68"/>
        <v>0</v>
      </c>
      <c r="I49" s="75">
        <f t="shared" si="68"/>
        <v>126</v>
      </c>
      <c r="J49" s="75">
        <f t="shared" si="68"/>
        <v>113</v>
      </c>
      <c r="K49" s="65">
        <f>IFERROR(F49/G49-1,"n/a")</f>
        <v>0.19999999999999996</v>
      </c>
      <c r="L49" s="65" t="str">
        <f t="shared" ref="L49:L50" si="70">IFERROR(F49/H49-1,"n/a")</f>
        <v>n/a</v>
      </c>
      <c r="M49" s="65">
        <f t="shared" ref="M49:M50" si="71">IFERROR(F49/I49-1,"n/a")</f>
        <v>-4.7619047619047672E-2</v>
      </c>
      <c r="N49" s="61">
        <f t="shared" ref="N49:N50" si="72">IFERROR(F49/J49-1,"n/a")</f>
        <v>6.1946902654867353E-2</v>
      </c>
      <c r="O49" s="113"/>
      <c r="P49" s="71">
        <f>+O22-'Mar-22'!M19+'Dec-22'!M22</f>
        <v>927</v>
      </c>
      <c r="Q49" s="71">
        <f>+P22-'Mar-22'!N19+'Dec-22'!N22</f>
        <v>511</v>
      </c>
      <c r="R49" s="71">
        <f>+Q22-'Mar-22'!O19+'Dec-22'!O22</f>
        <v>42</v>
      </c>
      <c r="S49" s="71">
        <f>+R22-'Mar-22'!P19+'Dec-22'!P22</f>
        <v>1015</v>
      </c>
      <c r="T49" s="113"/>
      <c r="U49" s="65">
        <f t="shared" ref="U49:U50" si="73">IFERROR(P49/Q49-1,"n/a")</f>
        <v>0.81409001956947158</v>
      </c>
      <c r="V49" s="65">
        <f t="shared" ref="V49:V50" si="74">IFERROR(P49/R49-1,"n/a")</f>
        <v>21.071428571428573</v>
      </c>
      <c r="W49" s="61">
        <f t="shared" ref="W49:W50" si="75">IFERROR(P49/S49-1,"n/a")</f>
        <v>-8.6699507389162545E-2</v>
      </c>
      <c r="X49" s="90">
        <v>744</v>
      </c>
      <c r="Y49" s="90"/>
      <c r="Z49" s="85">
        <v>406</v>
      </c>
      <c r="AA49" s="79">
        <v>1253</v>
      </c>
    </row>
    <row r="50" spans="1:51" s="10" customFormat="1" ht="15" customHeight="1">
      <c r="C50" s="34"/>
      <c r="D50" s="27" t="s">
        <v>11</v>
      </c>
      <c r="E50" s="33"/>
      <c r="F50" s="75">
        <f t="shared" si="68"/>
        <v>406985</v>
      </c>
      <c r="G50" s="75">
        <f t="shared" ref="G50" si="76">G23</f>
        <v>144818</v>
      </c>
      <c r="H50" s="75">
        <f t="shared" si="68"/>
        <v>0</v>
      </c>
      <c r="I50" s="75">
        <f t="shared" si="68"/>
        <v>357284</v>
      </c>
      <c r="J50" s="75">
        <f t="shared" si="68"/>
        <v>368396</v>
      </c>
      <c r="K50" s="65">
        <f>IFERROR(F50/G50-1,"n/a")</f>
        <v>1.8103205402643319</v>
      </c>
      <c r="L50" s="65" t="str">
        <f t="shared" si="70"/>
        <v>n/a</v>
      </c>
      <c r="M50" s="65">
        <f t="shared" si="71"/>
        <v>0.13910782458772286</v>
      </c>
      <c r="N50" s="61">
        <f t="shared" si="72"/>
        <v>0.10474869433978662</v>
      </c>
      <c r="O50" s="114"/>
      <c r="P50" s="71">
        <f>+O23-'Mar-22'!M20+'Dec-22'!M23</f>
        <v>3016301</v>
      </c>
      <c r="Q50" s="71">
        <f>+P23-'Mar-22'!N20+'Dec-22'!N23</f>
        <v>832267</v>
      </c>
      <c r="R50" s="71">
        <f>+Q23-'Mar-22'!O20+'Dec-22'!O23</f>
        <v>0</v>
      </c>
      <c r="S50" s="71">
        <f>+R23-'Mar-22'!P20+'Dec-22'!P23</f>
        <v>3150743</v>
      </c>
      <c r="T50" s="113"/>
      <c r="U50" s="65">
        <f t="shared" si="73"/>
        <v>2.6241987246881111</v>
      </c>
      <c r="V50" s="65" t="str">
        <f t="shared" si="74"/>
        <v>n/a</v>
      </c>
      <c r="W50" s="61">
        <f t="shared" si="75"/>
        <v>-4.2669935313670471E-2</v>
      </c>
      <c r="X50" s="83">
        <v>1290779</v>
      </c>
      <c r="Y50" s="83"/>
      <c r="Z50" s="85">
        <v>833999</v>
      </c>
      <c r="AA50" s="79">
        <v>3627458</v>
      </c>
    </row>
    <row r="51" spans="1:51" s="10" customFormat="1" ht="15" customHeight="1">
      <c r="C51" s="32" t="s">
        <v>16</v>
      </c>
      <c r="D51" s="27"/>
      <c r="E51" s="33"/>
      <c r="F51" s="73"/>
      <c r="G51" s="73"/>
      <c r="H51" s="73"/>
      <c r="I51" s="73"/>
      <c r="J51" s="73"/>
      <c r="K51" s="65"/>
      <c r="L51" s="65"/>
      <c r="M51" s="65"/>
      <c r="N51" s="61"/>
      <c r="O51" s="115"/>
      <c r="P51" s="88"/>
      <c r="Q51" s="88"/>
      <c r="R51" s="88"/>
      <c r="S51" s="88"/>
      <c r="T51" s="115"/>
      <c r="U51" s="65"/>
      <c r="V51" s="65"/>
      <c r="W51" s="61"/>
      <c r="X51" s="91"/>
      <c r="Y51" s="91"/>
      <c r="Z51" s="45"/>
      <c r="AA51" s="80"/>
    </row>
    <row r="52" spans="1:51" s="10" customFormat="1" ht="15" customHeight="1">
      <c r="C52" s="34"/>
      <c r="D52" s="27" t="s">
        <v>5</v>
      </c>
      <c r="E52" s="33"/>
      <c r="F52" s="75">
        <f t="shared" ref="F52:J53" si="77">F25</f>
        <v>4</v>
      </c>
      <c r="G52" s="75">
        <f t="shared" ref="G52" si="78">G25</f>
        <v>3</v>
      </c>
      <c r="H52" s="75">
        <f t="shared" si="77"/>
        <v>1</v>
      </c>
      <c r="I52" s="75">
        <f t="shared" si="77"/>
        <v>5</v>
      </c>
      <c r="J52" s="75">
        <f t="shared" si="77"/>
        <v>4</v>
      </c>
      <c r="K52" s="65">
        <f>IFERROR(F52/G52-1,"n/a")</f>
        <v>0.33333333333333326</v>
      </c>
      <c r="L52" s="65">
        <f t="shared" ref="L52:L53" si="79">IFERROR(F52/H52-1,"n/a")</f>
        <v>3</v>
      </c>
      <c r="M52" s="65">
        <f t="shared" ref="M52:M53" si="80">IFERROR(F52/I52-1,"n/a")</f>
        <v>-0.19999999999999996</v>
      </c>
      <c r="N52" s="61">
        <f t="shared" ref="N52:N53" si="81">IFERROR(F52/J52-1,"n/a")</f>
        <v>0</v>
      </c>
      <c r="O52" s="113"/>
      <c r="P52" s="71">
        <f>+O25-'Mar-22'!M22+'Dec-22'!M25</f>
        <v>264</v>
      </c>
      <c r="Q52" s="71">
        <f>+P25-'Mar-22'!N22+'Dec-22'!N25</f>
        <v>101</v>
      </c>
      <c r="R52" s="71">
        <f>+Q25-'Mar-22'!O22+'Dec-22'!O25</f>
        <v>24</v>
      </c>
      <c r="S52" s="71">
        <f>+R25-'Mar-22'!P22+'Dec-22'!P25</f>
        <v>357</v>
      </c>
      <c r="T52" s="113"/>
      <c r="U52" s="65">
        <f t="shared" ref="U52:U53" si="82">IFERROR(P52/Q52-1,"n/a")</f>
        <v>1.613861386138614</v>
      </c>
      <c r="V52" s="65">
        <f t="shared" ref="V52:V53" si="83">IFERROR(P52/R52-1,"n/a")</f>
        <v>10</v>
      </c>
      <c r="W52" s="61">
        <f t="shared" ref="W52:W53" si="84">IFERROR(P52/S52-1,"n/a")</f>
        <v>-0.26050420168067223</v>
      </c>
      <c r="X52" s="90">
        <v>121</v>
      </c>
      <c r="Y52" s="90"/>
      <c r="Z52" s="71">
        <v>41</v>
      </c>
      <c r="AA52" s="79">
        <v>361</v>
      </c>
    </row>
    <row r="53" spans="1:51" s="10" customFormat="1" ht="15" customHeight="1">
      <c r="C53" s="34"/>
      <c r="D53" s="27" t="s">
        <v>11</v>
      </c>
      <c r="E53" s="33"/>
      <c r="F53" s="75">
        <f t="shared" si="77"/>
        <v>14845</v>
      </c>
      <c r="G53" s="75">
        <f t="shared" ref="G53" si="85">G26</f>
        <v>1702</v>
      </c>
      <c r="H53" s="75">
        <f t="shared" si="77"/>
        <v>644</v>
      </c>
      <c r="I53" s="75">
        <f t="shared" si="77"/>
        <v>23141</v>
      </c>
      <c r="J53" s="75">
        <f t="shared" si="77"/>
        <v>19715</v>
      </c>
      <c r="K53" s="65">
        <f>IFERROR(F53/G53-1,"n/a")</f>
        <v>7.7220916568742659</v>
      </c>
      <c r="L53" s="65">
        <f t="shared" si="79"/>
        <v>22.051242236024844</v>
      </c>
      <c r="M53" s="65">
        <f t="shared" si="80"/>
        <v>-0.35849790415280236</v>
      </c>
      <c r="N53" s="61">
        <f t="shared" si="81"/>
        <v>-0.24702003550595997</v>
      </c>
      <c r="O53" s="114"/>
      <c r="P53" s="71">
        <f>+O26-'Mar-22'!M23+'Dec-22'!M26</f>
        <v>518729</v>
      </c>
      <c r="Q53" s="71">
        <f>+P26-'Mar-22'!N23+'Dec-22'!N26</f>
        <v>140870</v>
      </c>
      <c r="R53" s="71">
        <f>+Q26-'Mar-22'!O23+'Dec-22'!O26</f>
        <v>19603</v>
      </c>
      <c r="S53" s="71">
        <f>+R26-'Mar-22'!P23+'Dec-22'!P26</f>
        <v>848881</v>
      </c>
      <c r="T53" s="113"/>
      <c r="U53" s="65">
        <f t="shared" si="82"/>
        <v>2.6823241286292325</v>
      </c>
      <c r="V53" s="65">
        <f t="shared" si="83"/>
        <v>25.461715043615772</v>
      </c>
      <c r="W53" s="61">
        <f t="shared" si="84"/>
        <v>-0.38892612745484934</v>
      </c>
      <c r="X53" s="83">
        <v>165689</v>
      </c>
      <c r="Y53" s="83"/>
      <c r="Z53" s="85">
        <v>67144</v>
      </c>
      <c r="AA53" s="79">
        <v>865961</v>
      </c>
    </row>
    <row r="54" spans="1:51" s="10" customFormat="1" ht="15" customHeight="1">
      <c r="A54"/>
      <c r="B54"/>
      <c r="C54" s="32" t="s">
        <v>17</v>
      </c>
      <c r="D54" s="27"/>
      <c r="E54" s="33"/>
      <c r="F54" s="73"/>
      <c r="G54" s="73"/>
      <c r="H54" s="73"/>
      <c r="I54" s="73"/>
      <c r="J54" s="73"/>
      <c r="K54" s="65"/>
      <c r="L54" s="65"/>
      <c r="M54" s="65"/>
      <c r="N54" s="61"/>
      <c r="O54" s="115"/>
      <c r="P54" s="88"/>
      <c r="Q54" s="88"/>
      <c r="R54" s="88"/>
      <c r="S54" s="88"/>
      <c r="T54" s="115"/>
      <c r="U54" s="65"/>
      <c r="V54" s="65"/>
      <c r="W54" s="61"/>
      <c r="X54" s="91"/>
      <c r="Y54" s="91"/>
      <c r="Z54" s="45"/>
      <c r="AA54" s="80"/>
      <c r="AR54"/>
      <c r="AS54"/>
      <c r="AT54"/>
      <c r="AU54"/>
      <c r="AV54"/>
      <c r="AW54"/>
      <c r="AX54"/>
      <c r="AY54"/>
    </row>
    <row r="55" spans="1:51" s="10" customFormat="1" ht="15.4" customHeight="1">
      <c r="A55"/>
      <c r="B55"/>
      <c r="C55" s="34"/>
      <c r="D55" s="27" t="s">
        <v>5</v>
      </c>
      <c r="E55" s="33"/>
      <c r="F55" s="75">
        <f t="shared" ref="F55:J56" si="86">F28</f>
        <v>85</v>
      </c>
      <c r="G55" s="75">
        <f t="shared" ref="G55" si="87">G28</f>
        <v>0</v>
      </c>
      <c r="H55" s="75">
        <f t="shared" si="86"/>
        <v>1</v>
      </c>
      <c r="I55" s="75">
        <f t="shared" si="86"/>
        <v>0</v>
      </c>
      <c r="J55" s="75">
        <f t="shared" si="86"/>
        <v>1</v>
      </c>
      <c r="K55" s="65" t="str">
        <f>IFERROR(F55/G55-1,"n/a")</f>
        <v>n/a</v>
      </c>
      <c r="L55" s="65">
        <f t="shared" ref="L55:L58" si="88">IFERROR(F55/H55-1,"n/a")</f>
        <v>84</v>
      </c>
      <c r="M55" s="65" t="str">
        <f t="shared" ref="M55:M58" si="89">IFERROR(F55/I55-1,"n/a")</f>
        <v>n/a</v>
      </c>
      <c r="N55" s="61">
        <f t="shared" ref="N55:N58" si="90">IFERROR(F55/J55-1,"n/a")</f>
        <v>84</v>
      </c>
      <c r="O55" s="113"/>
      <c r="P55" s="71">
        <f>+O28-'Mar-22'!M25+'Dec-22'!M28</f>
        <v>674</v>
      </c>
      <c r="Q55" s="71">
        <f>+P28-'Mar-22'!N25+'Dec-22'!N28</f>
        <v>124</v>
      </c>
      <c r="R55" s="71">
        <f>+Q28-'Mar-22'!O25+'Dec-22'!O28</f>
        <v>37</v>
      </c>
      <c r="S55" s="71">
        <f>+R28-'Mar-22'!P25+'Dec-22'!P28</f>
        <v>359</v>
      </c>
      <c r="T55" s="113"/>
      <c r="U55" s="65">
        <f t="shared" ref="U55" si="91">IFERROR(P55/Q55-1,"n/a")</f>
        <v>4.435483870967742</v>
      </c>
      <c r="V55" s="65">
        <f t="shared" ref="V55" si="92">IFERROR(P55/R55-1,"n/a")</f>
        <v>17.216216216216218</v>
      </c>
      <c r="W55" s="61">
        <f t="shared" ref="W55" si="93">IFERROR(P55/S55-1,"n/a")</f>
        <v>0.87743732590529255</v>
      </c>
      <c r="X55" s="90">
        <v>140</v>
      </c>
      <c r="Y55" s="90"/>
      <c r="Z55" s="71">
        <v>40</v>
      </c>
      <c r="AA55" s="79">
        <v>360</v>
      </c>
      <c r="AR55"/>
      <c r="AS55"/>
      <c r="AT55"/>
      <c r="AU55"/>
      <c r="AV55"/>
      <c r="AW55"/>
      <c r="AX55"/>
      <c r="AY55"/>
    </row>
    <row r="56" spans="1:51" s="10" customFormat="1" ht="15.4" customHeight="1">
      <c r="A56"/>
      <c r="B56"/>
      <c r="C56" s="34"/>
      <c r="D56" s="27" t="s">
        <v>11</v>
      </c>
      <c r="E56" s="33"/>
      <c r="F56" s="75">
        <f t="shared" si="86"/>
        <v>219945</v>
      </c>
      <c r="G56" s="75">
        <f t="shared" ref="G56" si="94">G29</f>
        <v>0</v>
      </c>
      <c r="H56" s="75">
        <f t="shared" si="86"/>
        <v>644</v>
      </c>
      <c r="I56" s="75">
        <f t="shared" si="86"/>
        <v>0</v>
      </c>
      <c r="J56" s="75">
        <f t="shared" si="86"/>
        <v>1352</v>
      </c>
      <c r="K56" s="65" t="str">
        <f>IFERROR(F56/G56-1,"n/a")</f>
        <v>n/a</v>
      </c>
      <c r="L56" s="65">
        <f t="shared" si="88"/>
        <v>340.52950310559004</v>
      </c>
      <c r="M56" s="65" t="str">
        <f t="shared" si="89"/>
        <v>n/a</v>
      </c>
      <c r="N56" s="61">
        <f t="shared" si="90"/>
        <v>161.68121301775147</v>
      </c>
      <c r="O56" s="114"/>
      <c r="P56" s="83">
        <f>+O29-'Mar-22'!M26+'Dec-22'!M29</f>
        <v>1306588</v>
      </c>
      <c r="Q56" s="83">
        <f>+P29-'Mar-22'!N26+'Dec-22'!N29</f>
        <v>162944</v>
      </c>
      <c r="R56" s="83">
        <f>+Q29-'Mar-22'!O26+'Dec-22'!O29</f>
        <v>28814</v>
      </c>
      <c r="S56" s="83">
        <f>+R29-'Mar-22'!P26+'Dec-22'!P29</f>
        <v>861055</v>
      </c>
      <c r="T56" s="114"/>
      <c r="U56" s="65">
        <f>IFERROR(P56/Q56-1,"n/a")</f>
        <v>7.0186321681068335</v>
      </c>
      <c r="V56" s="65">
        <f>IFERROR(P56/R56-1,"n/a")</f>
        <v>44.345595890886372</v>
      </c>
      <c r="W56" s="61">
        <f>IFERROR(P56/S56-1,"n/a")</f>
        <v>0.51742687749330774</v>
      </c>
      <c r="X56" s="83">
        <v>174336</v>
      </c>
      <c r="Y56" s="83"/>
      <c r="Z56" s="85">
        <v>21928</v>
      </c>
      <c r="AA56" s="79">
        <f>706948+155011</f>
        <v>861959</v>
      </c>
      <c r="AR56"/>
      <c r="AS56"/>
      <c r="AT56"/>
      <c r="AU56"/>
      <c r="AV56"/>
      <c r="AW56"/>
      <c r="AX56"/>
      <c r="AY56"/>
    </row>
    <row r="57" spans="1:51" s="10" customFormat="1" ht="26.65" customHeight="1" thickBot="1">
      <c r="A57"/>
      <c r="B57"/>
      <c r="C57" s="36" t="s">
        <v>12</v>
      </c>
      <c r="D57" s="37"/>
      <c r="E57" s="38"/>
      <c r="F57" s="76">
        <f t="shared" ref="F57:J58" si="95">F40+F43+F46+F49+F52+F55</f>
        <v>305</v>
      </c>
      <c r="G57" s="76">
        <f t="shared" ref="G57" si="96">G40+G43+G46+G49+G52+G55</f>
        <v>186</v>
      </c>
      <c r="H57" s="76">
        <f t="shared" si="95"/>
        <v>2</v>
      </c>
      <c r="I57" s="76">
        <f t="shared" si="95"/>
        <v>212</v>
      </c>
      <c r="J57" s="76">
        <f t="shared" si="95"/>
        <v>218</v>
      </c>
      <c r="K57" s="67">
        <f>IFERROR(F57/G57-1,"n/a")</f>
        <v>0.63978494623655924</v>
      </c>
      <c r="L57" s="67">
        <f t="shared" si="88"/>
        <v>151.5</v>
      </c>
      <c r="M57" s="67">
        <f t="shared" si="89"/>
        <v>0.43867924528301883</v>
      </c>
      <c r="N57" s="63">
        <f t="shared" si="90"/>
        <v>0.39908256880733939</v>
      </c>
      <c r="O57" s="47"/>
      <c r="P57" s="47">
        <f t="shared" ref="P57" si="97">P40+P43+P46+P49+P52+P55</f>
        <v>3300</v>
      </c>
      <c r="Q57" s="47">
        <f t="shared" ref="Q57:S58" si="98">Q40+Q43+Q46+Q49+Q52+Q55</f>
        <v>1236</v>
      </c>
      <c r="R57" s="47">
        <f t="shared" si="98"/>
        <v>104</v>
      </c>
      <c r="S57" s="47">
        <f t="shared" si="98"/>
        <v>2921</v>
      </c>
      <c r="T57" s="47"/>
      <c r="U57" s="67">
        <f>IFERROR(P57/Q57-1,"n/a")</f>
        <v>1.6699029126213594</v>
      </c>
      <c r="V57" s="67">
        <f>IFERROR(P57/R57-1,"n/a")</f>
        <v>30.73076923076923</v>
      </c>
      <c r="W57" s="63">
        <f>IFERROR(P57/S57-1,"n/a")</f>
        <v>0.12975008558712764</v>
      </c>
      <c r="X57" s="47">
        <f t="shared" ref="X57:AA58" si="99">X40+X43+X46+X49+X52+X55</f>
        <v>1682</v>
      </c>
      <c r="Y57" s="47"/>
      <c r="Z57" s="47">
        <f t="shared" si="99"/>
        <v>679</v>
      </c>
      <c r="AA57" s="81">
        <f t="shared" si="99"/>
        <v>3274</v>
      </c>
      <c r="AR57"/>
      <c r="AS57"/>
      <c r="AT57"/>
      <c r="AU57"/>
      <c r="AV57"/>
      <c r="AW57"/>
      <c r="AX57"/>
      <c r="AY57"/>
    </row>
    <row r="58" spans="1:51" s="10" customFormat="1" ht="26.65" customHeight="1" thickTop="1" thickBot="1">
      <c r="A58"/>
      <c r="B58"/>
      <c r="C58" s="39" t="s">
        <v>13</v>
      </c>
      <c r="D58" s="40"/>
      <c r="E58" s="41"/>
      <c r="F58" s="77">
        <f t="shared" si="95"/>
        <v>833932</v>
      </c>
      <c r="G58" s="77">
        <f t="shared" ref="G58" si="100">G41+G44+G47+G50+G53+G56</f>
        <v>219956</v>
      </c>
      <c r="H58" s="77">
        <f t="shared" si="95"/>
        <v>1288</v>
      </c>
      <c r="I58" s="77">
        <f t="shared" si="95"/>
        <v>555038</v>
      </c>
      <c r="J58" s="77">
        <f t="shared" si="95"/>
        <v>620852</v>
      </c>
      <c r="K58" s="68">
        <f>IFERROR(F58/G58-1,"n/a")</f>
        <v>2.7913582716543308</v>
      </c>
      <c r="L58" s="68">
        <f t="shared" si="88"/>
        <v>646.46273291925468</v>
      </c>
      <c r="M58" s="68">
        <f t="shared" si="89"/>
        <v>0.50247730786000244</v>
      </c>
      <c r="N58" s="64">
        <f t="shared" si="90"/>
        <v>0.3432057881749595</v>
      </c>
      <c r="O58" s="48"/>
      <c r="P58" s="48">
        <f t="shared" ref="P58" si="101">P41+P44+P47+P50+P53+P56</f>
        <v>7593311</v>
      </c>
      <c r="Q58" s="48">
        <f t="shared" si="98"/>
        <v>1764100</v>
      </c>
      <c r="R58" s="48">
        <f t="shared" si="98"/>
        <v>48528</v>
      </c>
      <c r="S58" s="48">
        <f t="shared" si="98"/>
        <v>7933533</v>
      </c>
      <c r="T58" s="48"/>
      <c r="U58" s="68">
        <f>IFERROR(P58/Q58-1,"n/a")</f>
        <v>3.3043540615611358</v>
      </c>
      <c r="V58" s="68">
        <f>IFERROR(P58/R58-1,"n/a")</f>
        <v>155.47277860204417</v>
      </c>
      <c r="W58" s="64">
        <f>IFERROR(P58/S58-1,"n/a")</f>
        <v>-4.2884046741848758E-2</v>
      </c>
      <c r="X58" s="48">
        <f t="shared" si="99"/>
        <v>2411641</v>
      </c>
      <c r="Y58" s="48"/>
      <c r="Z58" s="48">
        <f t="shared" si="99"/>
        <v>1324261</v>
      </c>
      <c r="AA58" s="82">
        <f t="shared" si="99"/>
        <v>8654686</v>
      </c>
      <c r="AR58"/>
      <c r="AS58"/>
      <c r="AT58"/>
      <c r="AU58"/>
      <c r="AV58"/>
      <c r="AW58"/>
      <c r="AX58"/>
      <c r="AY58"/>
    </row>
    <row r="59" spans="1:51" s="10"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6"/>
      <c r="Q60" s="116"/>
      <c r="R60" s="116"/>
      <c r="S60" s="116"/>
    </row>
    <row r="61" spans="1:51" ht="26.65" customHeight="1">
      <c r="P61" s="116"/>
      <c r="Q61" s="116"/>
      <c r="R61" s="116"/>
      <c r="S61" s="116"/>
    </row>
    <row r="62" spans="1:51" ht="26.65" customHeight="1">
      <c r="P62" s="116"/>
      <c r="Q62" s="116"/>
      <c r="R62" s="116"/>
      <c r="S62" s="116"/>
    </row>
    <row r="63" spans="1:51" ht="26.65" customHeight="1">
      <c r="P63" s="116"/>
      <c r="Q63" s="116"/>
      <c r="R63" s="116"/>
      <c r="S63" s="116"/>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Normal="100" zoomScalePageLayoutView="40" workbookViewId="0">
      <selection activeCell="M57" sqref="M57:P58"/>
    </sheetView>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44941</v>
      </c>
    </row>
    <row r="4" spans="1:38" ht="15.75">
      <c r="A4" s="10"/>
      <c r="B4" s="12" t="s">
        <v>7</v>
      </c>
      <c r="C4" s="27"/>
      <c r="D4" s="25"/>
      <c r="E4" s="59" t="s">
        <v>96</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7" t="s">
        <v>31</v>
      </c>
      <c r="G9" s="117"/>
      <c r="H9" s="117"/>
      <c r="I9" s="117"/>
      <c r="J9" s="117"/>
      <c r="K9" s="117"/>
      <c r="L9" s="118"/>
      <c r="M9" s="119" t="s">
        <v>97</v>
      </c>
      <c r="N9" s="117"/>
      <c r="O9" s="117"/>
      <c r="P9" s="117"/>
      <c r="Q9" s="117"/>
      <c r="R9" s="117"/>
      <c r="S9" s="118"/>
      <c r="T9" s="119" t="s">
        <v>57</v>
      </c>
      <c r="U9" s="117"/>
      <c r="V9" s="120"/>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97">
        <v>73</v>
      </c>
      <c r="G13" s="97">
        <v>70</v>
      </c>
      <c r="H13" s="97">
        <v>0</v>
      </c>
      <c r="I13" s="97">
        <v>69</v>
      </c>
      <c r="J13" s="65">
        <f t="shared" ref="J13:J31" si="0">IFERROR(F13/G13-1,"n/a")</f>
        <v>4.2857142857142927E-2</v>
      </c>
      <c r="K13" s="65" t="str">
        <f>IFERROR(F13/H13-1,"n/a")</f>
        <v>n/a</v>
      </c>
      <c r="L13" s="61">
        <f t="shared" ref="L13:L14" si="1">IFERROR(F13/I13-1,"n/a")</f>
        <v>5.7971014492753659E-2</v>
      </c>
      <c r="M13" s="69">
        <f>F13+'Nov-22'!M13</f>
        <v>346</v>
      </c>
      <c r="N13" s="69">
        <f>G13+'Nov-22'!N13</f>
        <v>111</v>
      </c>
      <c r="O13" s="69">
        <f>H13+'Nov-22'!O13</f>
        <v>145</v>
      </c>
      <c r="P13" s="69">
        <f>I13+'Nov-22'!P13</f>
        <v>386</v>
      </c>
      <c r="Q13" s="65">
        <f>IFERROR(M13/N13-1,"n/a")</f>
        <v>2.1171171171171173</v>
      </c>
      <c r="R13" s="65">
        <f>IFERROR(M13/O13-1,"n/a")</f>
        <v>1.386206896551724</v>
      </c>
      <c r="S13" s="61">
        <f>IFERROR(M13/P13-1,"n/a")</f>
        <v>-0.10362694300518138</v>
      </c>
      <c r="T13" s="69">
        <v>111</v>
      </c>
      <c r="U13" s="71">
        <v>145</v>
      </c>
      <c r="V13" s="79">
        <v>386</v>
      </c>
    </row>
    <row r="14" spans="1:38" ht="15">
      <c r="A14" s="10"/>
      <c r="B14" s="13"/>
      <c r="C14" s="34"/>
      <c r="D14" s="27" t="s">
        <v>11</v>
      </c>
      <c r="E14" s="33"/>
      <c r="F14" s="97">
        <f>108803+415</f>
        <v>109218</v>
      </c>
      <c r="G14" s="97">
        <v>52767</v>
      </c>
      <c r="H14" s="97">
        <v>0</v>
      </c>
      <c r="I14" s="97">
        <v>120203</v>
      </c>
      <c r="J14" s="65">
        <f t="shared" si="0"/>
        <v>1.0698163624992891</v>
      </c>
      <c r="K14" s="65" t="str">
        <f t="shared" ref="K14" si="2">IFERROR(F14/H14-1,"n/a")</f>
        <v>n/a</v>
      </c>
      <c r="L14" s="61">
        <f t="shared" si="1"/>
        <v>-9.1387070206234489E-2</v>
      </c>
      <c r="M14" s="69">
        <f>F14+'Nov-22'!M14</f>
        <v>380182</v>
      </c>
      <c r="N14" s="69">
        <f>G14+'Nov-22'!N14</f>
        <v>80863</v>
      </c>
      <c r="O14" s="69">
        <f>H14+'Nov-22'!O14</f>
        <v>258885</v>
      </c>
      <c r="P14" s="69">
        <f>I14+'Nov-22'!P14</f>
        <v>733296</v>
      </c>
      <c r="Q14" s="65">
        <f>IFERROR(M14/N14-1,"n/a")</f>
        <v>3.7015569543548965</v>
      </c>
      <c r="R14" s="65">
        <f>IFERROR(M14/O14-1,"n/a")</f>
        <v>0.46853622264712125</v>
      </c>
      <c r="S14" s="61">
        <f>IFERROR(M14/P14-1,"n/a")</f>
        <v>-0.48154360585629818</v>
      </c>
      <c r="T14" s="69">
        <v>80863</v>
      </c>
      <c r="U14" s="71">
        <v>258885</v>
      </c>
      <c r="V14" s="79">
        <v>733296</v>
      </c>
    </row>
    <row r="15" spans="1:38" ht="15">
      <c r="A15" s="10"/>
      <c r="B15" s="13"/>
      <c r="C15" s="32" t="s">
        <v>74</v>
      </c>
      <c r="D15" s="27"/>
      <c r="E15" s="33"/>
      <c r="F15" s="98"/>
      <c r="G15" s="98"/>
      <c r="H15" s="98"/>
      <c r="I15" s="98"/>
      <c r="J15" s="65"/>
      <c r="K15" s="65"/>
      <c r="L15" s="62"/>
      <c r="M15" s="88"/>
      <c r="N15" s="88"/>
      <c r="O15" s="88"/>
      <c r="P15" s="88"/>
      <c r="Q15" s="65"/>
      <c r="R15" s="66"/>
      <c r="S15" s="62"/>
      <c r="T15" s="44"/>
      <c r="U15" s="45"/>
      <c r="V15" s="80"/>
    </row>
    <row r="16" spans="1:38" ht="15">
      <c r="A16" s="10"/>
      <c r="B16" s="13"/>
      <c r="C16" s="34"/>
      <c r="D16" s="27" t="s">
        <v>5</v>
      </c>
      <c r="E16" s="33"/>
      <c r="F16" s="97">
        <v>31</v>
      </c>
      <c r="G16" s="97">
        <v>25</v>
      </c>
      <c r="H16" s="97">
        <v>0</v>
      </c>
      <c r="I16" s="97">
        <v>20</v>
      </c>
      <c r="J16" s="65">
        <f t="shared" si="0"/>
        <v>0.24</v>
      </c>
      <c r="K16" s="65" t="str">
        <f t="shared" ref="K16:K17" si="3">IFERROR(F16/H16-1,"n/a")</f>
        <v>n/a</v>
      </c>
      <c r="L16" s="61">
        <f t="shared" ref="L16:L17" si="4">IFERROR(F16/I16-1,"n/a")</f>
        <v>0.55000000000000004</v>
      </c>
      <c r="M16" s="69">
        <f>F16+'Nov-22'!M16</f>
        <v>778</v>
      </c>
      <c r="N16" s="69">
        <f>G16+'Nov-22'!N16</f>
        <v>283</v>
      </c>
      <c r="O16" s="69">
        <f>H16+'Nov-22'!O16</f>
        <v>43</v>
      </c>
      <c r="P16" s="69">
        <f>I16+'Nov-22'!P16</f>
        <v>827</v>
      </c>
      <c r="Q16" s="65">
        <f t="shared" ref="Q16:Q17" si="5">IFERROR(M16/N16-1,"n/a")</f>
        <v>1.7491166077738516</v>
      </c>
      <c r="R16" s="65">
        <f t="shared" ref="R16:R17" si="6">IFERROR(M16/O16-1,"n/a")</f>
        <v>17.093023255813954</v>
      </c>
      <c r="S16" s="61">
        <f t="shared" ref="S16:S17" si="7">IFERROR(M16/P16-1,"n/a")</f>
        <v>-5.9250302297460755E-2</v>
      </c>
      <c r="T16" s="69">
        <v>283</v>
      </c>
      <c r="U16" s="71">
        <v>43</v>
      </c>
      <c r="V16" s="79">
        <v>827</v>
      </c>
    </row>
    <row r="17" spans="1:46" ht="15">
      <c r="A17" s="10"/>
      <c r="B17" s="13"/>
      <c r="C17" s="34"/>
      <c r="D17" s="27" t="s">
        <v>11</v>
      </c>
      <c r="E17" s="33"/>
      <c r="F17" s="97">
        <v>88390</v>
      </c>
      <c r="G17" s="97">
        <v>39214</v>
      </c>
      <c r="H17" s="97">
        <v>0</v>
      </c>
      <c r="I17" s="97">
        <v>58943</v>
      </c>
      <c r="J17" s="65">
        <f t="shared" si="0"/>
        <v>1.2540419238027236</v>
      </c>
      <c r="K17" s="65" t="str">
        <f t="shared" si="3"/>
        <v>n/a</v>
      </c>
      <c r="L17" s="61">
        <f t="shared" si="4"/>
        <v>0.49958434419693609</v>
      </c>
      <c r="M17" s="69">
        <f>F17+'Nov-22'!M17</f>
        <v>1843624</v>
      </c>
      <c r="N17" s="69">
        <f>G17+'Nov-22'!N17</f>
        <v>465109</v>
      </c>
      <c r="O17" s="69">
        <f>H17+'Nov-22'!O17</f>
        <v>140552</v>
      </c>
      <c r="P17" s="69">
        <f>I17+'Nov-22'!P17</f>
        <v>2552942</v>
      </c>
      <c r="Q17" s="65">
        <f t="shared" si="5"/>
        <v>2.9638536343093769</v>
      </c>
      <c r="R17" s="65">
        <f t="shared" si="6"/>
        <v>12.117024304172121</v>
      </c>
      <c r="S17" s="61">
        <f t="shared" si="7"/>
        <v>-0.27784336659430575</v>
      </c>
      <c r="T17" s="69">
        <v>465109</v>
      </c>
      <c r="U17" s="71">
        <v>140552</v>
      </c>
      <c r="V17" s="79">
        <v>2552942</v>
      </c>
    </row>
    <row r="18" spans="1:46" ht="15">
      <c r="A18" s="10"/>
      <c r="B18" s="13"/>
      <c r="C18" s="32" t="s">
        <v>15</v>
      </c>
      <c r="D18" s="27"/>
      <c r="E18" s="33"/>
      <c r="F18" s="73"/>
      <c r="G18" s="99"/>
      <c r="H18" s="99"/>
      <c r="I18" s="99"/>
      <c r="J18" s="65"/>
      <c r="K18" s="65"/>
      <c r="L18" s="61"/>
      <c r="M18" s="88"/>
      <c r="N18" s="88"/>
      <c r="O18" s="88"/>
      <c r="P18" s="88"/>
      <c r="Q18" s="65"/>
      <c r="R18" s="65"/>
      <c r="S18" s="61"/>
      <c r="T18" s="44"/>
      <c r="U18" s="45"/>
      <c r="V18" s="80"/>
    </row>
    <row r="19" spans="1:46" ht="15">
      <c r="A19" s="10"/>
      <c r="B19" s="13"/>
      <c r="C19" s="34"/>
      <c r="D19" s="27" t="s">
        <v>5</v>
      </c>
      <c r="E19" s="33"/>
      <c r="F19" s="75">
        <v>9</v>
      </c>
      <c r="G19" s="97">
        <v>3</v>
      </c>
      <c r="H19" s="97">
        <v>0</v>
      </c>
      <c r="I19" s="97">
        <v>9</v>
      </c>
      <c r="J19" s="65">
        <f t="shared" si="0"/>
        <v>2</v>
      </c>
      <c r="K19" s="65" t="str">
        <f t="shared" ref="K19:K20" si="8">IFERROR(F19/H19-1,"n/a")</f>
        <v>n/a</v>
      </c>
      <c r="L19" s="61">
        <f>IFERROR(F19/I19-1,"n/a")</f>
        <v>0</v>
      </c>
      <c r="M19" s="69">
        <f>F19+'Nov-22'!M19</f>
        <v>475</v>
      </c>
      <c r="N19" s="69">
        <f>G19+'Nov-22'!N19</f>
        <v>23</v>
      </c>
      <c r="O19" s="69">
        <f>H19+'Nov-22'!O19</f>
        <v>4</v>
      </c>
      <c r="P19" s="69">
        <f>I19+'Nov-22'!P19</f>
        <v>191</v>
      </c>
      <c r="Q19" s="65">
        <f t="shared" ref="Q19:Q20" si="9">IFERROR(M19/N19-1,"n/a")</f>
        <v>19.652173913043477</v>
      </c>
      <c r="R19" s="65">
        <f t="shared" ref="R19:R20" si="10">IFERROR(M19/O19-1,"n/a")</f>
        <v>117.75</v>
      </c>
      <c r="S19" s="61">
        <f t="shared" ref="S19:S20" si="11">IFERROR(M19/P19-1,"n/a")</f>
        <v>1.4869109947643979</v>
      </c>
      <c r="T19" s="69">
        <v>23</v>
      </c>
      <c r="U19" s="71">
        <v>4</v>
      </c>
      <c r="V19" s="79">
        <v>191</v>
      </c>
    </row>
    <row r="20" spans="1:46" ht="15">
      <c r="A20" s="10"/>
      <c r="B20" s="13"/>
      <c r="C20" s="34"/>
      <c r="D20" s="27" t="s">
        <v>11</v>
      </c>
      <c r="E20" s="33"/>
      <c r="F20" s="75">
        <v>6157</v>
      </c>
      <c r="G20" s="97">
        <v>864</v>
      </c>
      <c r="H20" s="97">
        <v>0</v>
      </c>
      <c r="I20" s="97">
        <v>9825</v>
      </c>
      <c r="J20" s="65">
        <f t="shared" si="0"/>
        <v>6.1261574074074074</v>
      </c>
      <c r="K20" s="65" t="str">
        <f t="shared" si="8"/>
        <v>n/a</v>
      </c>
      <c r="L20" s="61">
        <f t="shared" ref="L20:L31" si="12">IFERROR(F20/I20-1,"n/a")</f>
        <v>-0.37333333333333329</v>
      </c>
      <c r="M20" s="69">
        <f>F20+'Nov-22'!M20</f>
        <v>561984</v>
      </c>
      <c r="N20" s="69">
        <f>G20+'Nov-22'!N20</f>
        <v>8611</v>
      </c>
      <c r="O20" s="69">
        <f>H20+'Nov-22'!O20</f>
        <v>1753</v>
      </c>
      <c r="P20" s="69">
        <f>I20+'Nov-22'!P20</f>
        <v>254421</v>
      </c>
      <c r="Q20" s="65">
        <f t="shared" si="9"/>
        <v>64.263500174195798</v>
      </c>
      <c r="R20" s="65">
        <f t="shared" si="10"/>
        <v>319.58414147176268</v>
      </c>
      <c r="S20" s="61">
        <f t="shared" si="11"/>
        <v>1.2088742674543376</v>
      </c>
      <c r="T20" s="69">
        <v>8611</v>
      </c>
      <c r="U20" s="71">
        <v>1753</v>
      </c>
      <c r="V20" s="79">
        <v>254421</v>
      </c>
    </row>
    <row r="21" spans="1:46" ht="15">
      <c r="A21" s="10"/>
      <c r="B21" s="13"/>
      <c r="C21" s="32" t="s">
        <v>10</v>
      </c>
      <c r="D21" s="27"/>
      <c r="E21" s="35"/>
      <c r="F21" s="73"/>
      <c r="G21" s="99"/>
      <c r="H21" s="99"/>
      <c r="I21" s="99"/>
      <c r="J21" s="65"/>
      <c r="K21" s="65"/>
      <c r="L21" s="61"/>
      <c r="M21" s="88"/>
      <c r="N21" s="88"/>
      <c r="O21" s="88"/>
      <c r="P21" s="88"/>
      <c r="Q21" s="65"/>
      <c r="R21" s="65"/>
      <c r="S21" s="61"/>
      <c r="T21" s="44"/>
      <c r="U21" s="45"/>
      <c r="V21" s="80"/>
    </row>
    <row r="22" spans="1:46" ht="15">
      <c r="A22" s="10"/>
      <c r="B22" s="13"/>
      <c r="C22" s="34"/>
      <c r="D22" s="27" t="s">
        <v>5</v>
      </c>
      <c r="E22" s="35"/>
      <c r="F22" s="75">
        <v>118</v>
      </c>
      <c r="G22" s="97">
        <v>102</v>
      </c>
      <c r="H22" s="97">
        <v>0</v>
      </c>
      <c r="I22" s="97">
        <v>131</v>
      </c>
      <c r="J22" s="65">
        <f t="shared" si="0"/>
        <v>0.15686274509803932</v>
      </c>
      <c r="K22" s="65" t="str">
        <f t="shared" ref="K22:K23" si="13">IFERROR(F22/H22-1,"n/a")</f>
        <v>n/a</v>
      </c>
      <c r="L22" s="61">
        <f t="shared" si="12"/>
        <v>-9.92366412213741E-2</v>
      </c>
      <c r="M22" s="69">
        <f>F22+'Nov-22'!M22</f>
        <v>1140</v>
      </c>
      <c r="N22" s="69">
        <f>G22+'Nov-22'!N22</f>
        <v>411</v>
      </c>
      <c r="O22" s="69">
        <f>H22+'Nov-22'!O22</f>
        <v>406</v>
      </c>
      <c r="P22" s="69">
        <f>I22+'Nov-22'!P22</f>
        <v>1205</v>
      </c>
      <c r="Q22" s="65">
        <f t="shared" ref="Q22:Q23" si="14">IFERROR(M22/N22-1,"n/a")</f>
        <v>1.7737226277372264</v>
      </c>
      <c r="R22" s="65">
        <f t="shared" ref="R22:R23" si="15">IFERROR(M22/O22-1,"n/a")</f>
        <v>1.8078817733990147</v>
      </c>
      <c r="S22" s="61">
        <f t="shared" ref="S22:S23" si="16">IFERROR(M22/P22-1,"n/a")</f>
        <v>-5.3941908713692976E-2</v>
      </c>
      <c r="T22" s="69">
        <v>411</v>
      </c>
      <c r="U22" s="71">
        <v>406</v>
      </c>
      <c r="V22" s="79">
        <v>1205</v>
      </c>
    </row>
    <row r="23" spans="1:46" ht="15">
      <c r="A23" s="10"/>
      <c r="B23" s="13"/>
      <c r="C23" s="34"/>
      <c r="D23" s="27" t="s">
        <v>11</v>
      </c>
      <c r="E23" s="33"/>
      <c r="F23" s="75">
        <v>409516</v>
      </c>
      <c r="G23" s="97">
        <v>200450</v>
      </c>
      <c r="H23" s="97">
        <v>0</v>
      </c>
      <c r="I23" s="97">
        <v>386408</v>
      </c>
      <c r="J23" s="65">
        <f t="shared" si="0"/>
        <v>1.0429832876028935</v>
      </c>
      <c r="K23" s="65" t="str">
        <f t="shared" si="13"/>
        <v>n/a</v>
      </c>
      <c r="L23" s="61">
        <f t="shared" si="12"/>
        <v>5.9802074491211332E-2</v>
      </c>
      <c r="M23" s="69">
        <f>F23+'Nov-22'!M23</f>
        <v>3212646</v>
      </c>
      <c r="N23" s="69">
        <f>G23+'Nov-22'!N23</f>
        <v>687449</v>
      </c>
      <c r="O23" s="69">
        <f>H23+'Nov-22'!O23</f>
        <v>833999</v>
      </c>
      <c r="P23" s="69">
        <f>I23+'Nov-22'!P23</f>
        <v>3859183</v>
      </c>
      <c r="Q23" s="65">
        <f t="shared" si="14"/>
        <v>3.6732863092389403</v>
      </c>
      <c r="R23" s="65">
        <f t="shared" si="15"/>
        <v>2.8520981440025706</v>
      </c>
      <c r="S23" s="61">
        <f t="shared" si="16"/>
        <v>-0.16753209163701233</v>
      </c>
      <c r="T23" s="69">
        <v>687449</v>
      </c>
      <c r="U23" s="71">
        <v>833999</v>
      </c>
      <c r="V23" s="79">
        <v>3859183</v>
      </c>
    </row>
    <row r="24" spans="1:46" ht="15">
      <c r="A24" s="10"/>
      <c r="B24" s="13"/>
      <c r="C24" s="32" t="s">
        <v>16</v>
      </c>
      <c r="D24" s="27"/>
      <c r="E24" s="33"/>
      <c r="F24" s="73"/>
      <c r="G24" s="99"/>
      <c r="H24" s="99"/>
      <c r="I24" s="99"/>
      <c r="J24" s="65"/>
      <c r="K24" s="65"/>
      <c r="L24" s="61"/>
      <c r="M24" s="88"/>
      <c r="N24" s="88"/>
      <c r="O24" s="88"/>
      <c r="P24" s="88"/>
      <c r="Q24" s="65"/>
      <c r="R24" s="65"/>
      <c r="S24" s="61"/>
      <c r="T24" s="44"/>
      <c r="U24" s="45"/>
      <c r="V24" s="80"/>
    </row>
    <row r="25" spans="1:46" ht="15">
      <c r="A25" s="10"/>
      <c r="B25" s="13"/>
      <c r="C25" s="34"/>
      <c r="D25" s="27" t="s">
        <v>5</v>
      </c>
      <c r="E25" s="33"/>
      <c r="F25" s="75">
        <v>5</v>
      </c>
      <c r="G25" s="97">
        <v>7</v>
      </c>
      <c r="H25" s="97">
        <v>3</v>
      </c>
      <c r="I25" s="97">
        <v>44</v>
      </c>
      <c r="J25" s="65">
        <f t="shared" si="0"/>
        <v>-0.2857142857142857</v>
      </c>
      <c r="K25" s="65">
        <f t="shared" ref="K25:K26" si="17">IFERROR(F25/H25-1,"n/a")</f>
        <v>0.66666666666666674</v>
      </c>
      <c r="L25" s="61">
        <f t="shared" si="12"/>
        <v>-0.88636363636363635</v>
      </c>
      <c r="M25" s="69">
        <f>F25+'Nov-22'!M25</f>
        <v>283</v>
      </c>
      <c r="N25" s="69">
        <f>G25+'Nov-22'!N25</f>
        <v>107</v>
      </c>
      <c r="O25" s="69">
        <f>H25+'Nov-22'!O25</f>
        <v>32</v>
      </c>
      <c r="P25" s="69">
        <f>I25+'Nov-22'!P25</f>
        <v>372</v>
      </c>
      <c r="Q25" s="65">
        <f t="shared" ref="Q25:Q26" si="18">IFERROR(M25/N25-1,"n/a")</f>
        <v>1.6448598130841123</v>
      </c>
      <c r="R25" s="65">
        <f t="shared" ref="R25:R26" si="19">IFERROR(M25/O25-1,"n/a")</f>
        <v>7.84375</v>
      </c>
      <c r="S25" s="61">
        <f t="shared" ref="S25:S26" si="20">IFERROR(M25/P25-1,"n/a")</f>
        <v>-0.239247311827957</v>
      </c>
      <c r="T25" s="69">
        <v>107</v>
      </c>
      <c r="U25" s="71">
        <v>32</v>
      </c>
      <c r="V25" s="79">
        <v>372</v>
      </c>
    </row>
    <row r="26" spans="1:46" ht="15">
      <c r="A26" s="10"/>
      <c r="B26" s="13"/>
      <c r="C26" s="34"/>
      <c r="D26" s="27" t="s">
        <v>11</v>
      </c>
      <c r="E26" s="33"/>
      <c r="F26" s="75">
        <v>20252</v>
      </c>
      <c r="G26" s="97">
        <v>13748</v>
      </c>
      <c r="H26" s="97">
        <v>1045</v>
      </c>
      <c r="I26" s="97">
        <v>52611</v>
      </c>
      <c r="J26" s="65">
        <f t="shared" si="0"/>
        <v>0.47308699447192315</v>
      </c>
      <c r="K26" s="65">
        <f t="shared" si="17"/>
        <v>18.379904306220094</v>
      </c>
      <c r="L26" s="61">
        <f t="shared" si="12"/>
        <v>-0.61506148904221547</v>
      </c>
      <c r="M26" s="69">
        <f>F26+'Nov-22'!M26</f>
        <v>530405</v>
      </c>
      <c r="N26" s="69">
        <f>G26+'Nov-22'!N26</f>
        <v>147132</v>
      </c>
      <c r="O26" s="69">
        <f>H26+'Nov-22'!O26</f>
        <v>59180</v>
      </c>
      <c r="P26" s="69">
        <f>I26+'Nov-22'!P26</f>
        <v>902015</v>
      </c>
      <c r="Q26" s="65">
        <f t="shared" si="18"/>
        <v>2.6049601718185031</v>
      </c>
      <c r="R26" s="65">
        <f t="shared" si="19"/>
        <v>7.9625718148022973</v>
      </c>
      <c r="S26" s="61">
        <f t="shared" si="20"/>
        <v>-0.41197762786649894</v>
      </c>
      <c r="T26" s="69">
        <v>147132</v>
      </c>
      <c r="U26" s="71">
        <v>59180</v>
      </c>
      <c r="V26" s="79">
        <v>902015</v>
      </c>
    </row>
    <row r="27" spans="1:46" ht="15">
      <c r="A27" s="10"/>
      <c r="B27" s="13"/>
      <c r="C27" s="32" t="s">
        <v>17</v>
      </c>
      <c r="D27" s="27"/>
      <c r="E27" s="33"/>
      <c r="F27" s="73"/>
      <c r="G27" s="99"/>
      <c r="H27" s="99"/>
      <c r="I27" s="99"/>
      <c r="J27" s="65"/>
      <c r="K27" s="65"/>
      <c r="L27" s="61"/>
      <c r="M27" s="88"/>
      <c r="N27" s="88"/>
      <c r="O27" s="88"/>
      <c r="P27" s="88"/>
      <c r="Q27" s="65"/>
      <c r="R27" s="65"/>
      <c r="S27" s="61"/>
      <c r="T27" s="44"/>
      <c r="U27" s="45"/>
      <c r="V27" s="80"/>
    </row>
    <row r="28" spans="1:46" ht="15">
      <c r="B28" s="13"/>
      <c r="C28" s="34"/>
      <c r="D28" s="27" t="s">
        <v>5</v>
      </c>
      <c r="E28" s="33"/>
      <c r="F28" s="75">
        <f>1+36</f>
        <v>37</v>
      </c>
      <c r="G28" s="97">
        <v>0</v>
      </c>
      <c r="H28" s="97">
        <v>5</v>
      </c>
      <c r="I28" s="97">
        <v>18</v>
      </c>
      <c r="J28" s="65" t="str">
        <f t="shared" si="0"/>
        <v>n/a</v>
      </c>
      <c r="K28" s="65">
        <f t="shared" ref="K28:K31" si="21">IFERROR(F28/H28-1,"n/a")</f>
        <v>6.4</v>
      </c>
      <c r="L28" s="61">
        <f t="shared" si="12"/>
        <v>1.0555555555555554</v>
      </c>
      <c r="M28" s="69">
        <f>F28+'Nov-22'!M28</f>
        <v>605</v>
      </c>
      <c r="N28" s="69">
        <f>G28+'Nov-22'!N28</f>
        <v>127</v>
      </c>
      <c r="O28" s="69">
        <f>H28+'Nov-22'!O28</f>
        <v>37</v>
      </c>
      <c r="P28" s="69">
        <f>I28+'Nov-22'!P28</f>
        <v>363</v>
      </c>
      <c r="Q28" s="65">
        <f t="shared" ref="Q28:Q31" si="22">IFERROR(M28/N28-1,"n/a")</f>
        <v>3.7637795275590555</v>
      </c>
      <c r="R28" s="65">
        <f t="shared" ref="R28:R31" si="23">IFERROR(M28/O28-1,"n/a")</f>
        <v>15.351351351351351</v>
      </c>
      <c r="S28" s="61">
        <f t="shared" ref="S28:S31" si="24">IFERROR(M28/P28-1,"n/a")</f>
        <v>0.66666666666666674</v>
      </c>
      <c r="T28" s="69">
        <v>127</v>
      </c>
      <c r="U28" s="71">
        <v>37</v>
      </c>
      <c r="V28" s="79">
        <f>282+81</f>
        <v>363</v>
      </c>
    </row>
    <row r="29" spans="1:46" ht="15">
      <c r="A29" s="10"/>
      <c r="B29" s="13"/>
      <c r="C29" s="34"/>
      <c r="D29" s="27" t="s">
        <v>11</v>
      </c>
      <c r="E29" s="33"/>
      <c r="F29" s="75">
        <f>2108+606+127100</f>
        <v>129814</v>
      </c>
      <c r="G29" s="97">
        <v>0</v>
      </c>
      <c r="H29" s="97">
        <v>10369</v>
      </c>
      <c r="I29" s="97">
        <v>10666</v>
      </c>
      <c r="J29" s="65" t="str">
        <f t="shared" si="0"/>
        <v>n/a</v>
      </c>
      <c r="K29" s="65">
        <f t="shared" si="21"/>
        <v>11.519432925065098</v>
      </c>
      <c r="L29" s="61">
        <f t="shared" si="12"/>
        <v>11.170823176448527</v>
      </c>
      <c r="M29" s="69">
        <f>F29+'Nov-22'!M29</f>
        <v>1098243</v>
      </c>
      <c r="N29" s="69">
        <f>G29+'Nov-22'!N29</f>
        <v>165083</v>
      </c>
      <c r="O29" s="69">
        <f>H29+'Nov-22'!O29</f>
        <v>29062</v>
      </c>
      <c r="P29" s="69">
        <f>I29+'Nov-22'!P29</f>
        <v>867164</v>
      </c>
      <c r="Q29" s="65">
        <f t="shared" si="22"/>
        <v>5.6526716863638287</v>
      </c>
      <c r="R29" s="65">
        <f t="shared" si="23"/>
        <v>36.789656596242516</v>
      </c>
      <c r="S29" s="61">
        <f t="shared" si="24"/>
        <v>0.2664766987559446</v>
      </c>
      <c r="T29" s="69">
        <v>165083</v>
      </c>
      <c r="U29" s="71">
        <f>20768+8294</f>
        <v>29062</v>
      </c>
      <c r="V29" s="79">
        <f>659951+168729+38484</f>
        <v>867164</v>
      </c>
    </row>
    <row r="30" spans="1:46" ht="15" customHeight="1" thickBot="1">
      <c r="A30" s="10"/>
      <c r="B30" s="13"/>
      <c r="C30" s="36" t="s">
        <v>12</v>
      </c>
      <c r="D30" s="37"/>
      <c r="E30" s="38"/>
      <c r="F30" s="76">
        <f t="shared" ref="F30:I31" si="25">F13+F16+F19+F22+F25+F28</f>
        <v>273</v>
      </c>
      <c r="G30" s="76">
        <f>G13+G16+G19+G22+G25+G28</f>
        <v>207</v>
      </c>
      <c r="H30" s="76">
        <f t="shared" si="25"/>
        <v>8</v>
      </c>
      <c r="I30" s="76">
        <f t="shared" si="25"/>
        <v>291</v>
      </c>
      <c r="J30" s="67">
        <f t="shared" si="0"/>
        <v>0.31884057971014501</v>
      </c>
      <c r="K30" s="67">
        <f t="shared" si="21"/>
        <v>33.125</v>
      </c>
      <c r="L30" s="63">
        <f t="shared" si="12"/>
        <v>-6.1855670103092786E-2</v>
      </c>
      <c r="M30" s="47">
        <f t="shared" ref="M30:P31" si="26">M13+M16+M19+M22+M25+M28</f>
        <v>3627</v>
      </c>
      <c r="N30" s="47">
        <f t="shared" si="26"/>
        <v>1062</v>
      </c>
      <c r="O30" s="47">
        <f t="shared" si="26"/>
        <v>667</v>
      </c>
      <c r="P30" s="47">
        <f t="shared" si="26"/>
        <v>3344</v>
      </c>
      <c r="Q30" s="67">
        <f t="shared" si="22"/>
        <v>2.4152542372881354</v>
      </c>
      <c r="R30" s="67">
        <f t="shared" si="23"/>
        <v>4.437781109445277</v>
      </c>
      <c r="S30" s="63">
        <f t="shared" si="24"/>
        <v>8.4629186602870776E-2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763347</v>
      </c>
      <c r="G31" s="77">
        <f t="shared" si="25"/>
        <v>307043</v>
      </c>
      <c r="H31" s="77">
        <f t="shared" si="25"/>
        <v>11414</v>
      </c>
      <c r="I31" s="77">
        <f t="shared" si="25"/>
        <v>638656</v>
      </c>
      <c r="J31" s="68">
        <f t="shared" si="0"/>
        <v>1.48612409336803</v>
      </c>
      <c r="K31" s="68">
        <f t="shared" si="21"/>
        <v>65.87813211845102</v>
      </c>
      <c r="L31" s="64">
        <f t="shared" si="12"/>
        <v>0.19523969085078674</v>
      </c>
      <c r="M31" s="48">
        <f t="shared" si="26"/>
        <v>7627084</v>
      </c>
      <c r="N31" s="48">
        <f t="shared" si="26"/>
        <v>1554247</v>
      </c>
      <c r="O31" s="48">
        <f t="shared" si="26"/>
        <v>1323431</v>
      </c>
      <c r="P31" s="48">
        <f t="shared" si="26"/>
        <v>9169021</v>
      </c>
      <c r="Q31" s="68">
        <f t="shared" si="22"/>
        <v>3.9072534803026802</v>
      </c>
      <c r="R31" s="68">
        <f t="shared" si="23"/>
        <v>4.7631142084475879</v>
      </c>
      <c r="S31" s="64">
        <f t="shared" si="24"/>
        <v>-0.16816811740315574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 customHeight="1">
      <c r="F33" s="42"/>
      <c r="G33" s="42"/>
      <c r="H33" s="42"/>
      <c r="I33" s="42"/>
      <c r="J33" s="42"/>
      <c r="K33" s="42"/>
      <c r="AM33"/>
      <c r="AN33"/>
      <c r="AO33"/>
      <c r="AP33"/>
      <c r="AQ33"/>
      <c r="AR33"/>
      <c r="AS33"/>
      <c r="AT33"/>
    </row>
    <row r="34" spans="2:46" s="10" customFormat="1" ht="15">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5">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17" t="str">
        <f>F9</f>
        <v>December</v>
      </c>
      <c r="G36" s="117"/>
      <c r="H36" s="117"/>
      <c r="I36" s="117"/>
      <c r="J36" s="117"/>
      <c r="K36" s="117"/>
      <c r="L36" s="118"/>
      <c r="M36" s="119" t="s">
        <v>98</v>
      </c>
      <c r="N36" s="117"/>
      <c r="O36" s="117"/>
      <c r="P36" s="117"/>
      <c r="Q36" s="117"/>
      <c r="R36" s="117"/>
      <c r="S36" s="118"/>
      <c r="T36" s="119" t="s">
        <v>58</v>
      </c>
      <c r="U36" s="117"/>
      <c r="V36" s="120"/>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73</v>
      </c>
      <c r="G40" s="75">
        <f t="shared" si="28"/>
        <v>70</v>
      </c>
      <c r="H40" s="75">
        <f t="shared" si="28"/>
        <v>0</v>
      </c>
      <c r="I40" s="75">
        <f t="shared" si="28"/>
        <v>69</v>
      </c>
      <c r="J40" s="65">
        <f t="shared" ref="J40:J41" si="29">IFERROR(F40/G40-1,"n/a")</f>
        <v>4.2857142857142927E-2</v>
      </c>
      <c r="K40" s="65" t="str">
        <f>IFERROR(F40/H40-1,"n/a")</f>
        <v>n/a</v>
      </c>
      <c r="L40" s="61">
        <f t="shared" ref="L40:L41" si="30">IFERROR(F40/I40-1,"n/a")</f>
        <v>5.7971014492753659E-2</v>
      </c>
      <c r="M40" s="71">
        <f>+M13-'Mar-22'!M10</f>
        <v>149</v>
      </c>
      <c r="N40" s="71">
        <f>+N13-'Mar-22'!N10</f>
        <v>111</v>
      </c>
      <c r="O40" s="83">
        <f>+O13-'Mar-22'!O10</f>
        <v>0</v>
      </c>
      <c r="P40" s="71">
        <f>+P13-'Mar-22'!P10</f>
        <v>186</v>
      </c>
      <c r="Q40" s="65">
        <f>IFERROR(M40/N40-1,"n/a")</f>
        <v>0.3423423423423424</v>
      </c>
      <c r="R40" s="65" t="str">
        <f>IFERROR(M40/O40-1,"n/a")</f>
        <v>n/a</v>
      </c>
      <c r="S40" s="61">
        <f>IFERROR(M40/P40-1,"n/a")</f>
        <v>-0.19892473118279574</v>
      </c>
      <c r="T40" s="90">
        <v>308</v>
      </c>
      <c r="U40" s="71">
        <v>145</v>
      </c>
      <c r="V40" s="79">
        <v>331</v>
      </c>
    </row>
    <row r="41" spans="2:46" s="10" customFormat="1" ht="15" customHeight="1">
      <c r="C41" s="34"/>
      <c r="D41" s="27" t="s">
        <v>11</v>
      </c>
      <c r="E41" s="33"/>
      <c r="F41" s="75">
        <f t="shared" si="28"/>
        <v>109218</v>
      </c>
      <c r="G41" s="75">
        <f t="shared" si="28"/>
        <v>52767</v>
      </c>
      <c r="H41" s="75">
        <f t="shared" si="28"/>
        <v>0</v>
      </c>
      <c r="I41" s="75">
        <f t="shared" si="28"/>
        <v>120203</v>
      </c>
      <c r="J41" s="65">
        <f t="shared" si="29"/>
        <v>1.0698163624992891</v>
      </c>
      <c r="K41" s="65" t="str">
        <f t="shared" ref="K41" si="31">IFERROR(F41/H41-1,"n/a")</f>
        <v>n/a</v>
      </c>
      <c r="L41" s="61">
        <f t="shared" si="30"/>
        <v>-9.1387070206234489E-2</v>
      </c>
      <c r="M41" s="83">
        <f>+M14-'Mar-22'!M11</f>
        <v>223854</v>
      </c>
      <c r="N41" s="83">
        <f>+N14-'Mar-22'!N11</f>
        <v>80863</v>
      </c>
      <c r="O41" s="83">
        <f>+O14-'Mar-22'!O11</f>
        <v>0</v>
      </c>
      <c r="P41" s="83">
        <f>+P14-'Mar-22'!P11</f>
        <v>347916</v>
      </c>
      <c r="Q41" s="65">
        <f>IFERROR(M41/N41-1,"n/a")</f>
        <v>1.768311836068412</v>
      </c>
      <c r="R41" s="65" t="str">
        <f>IFERROR(M41/O41-1,"n/a")</f>
        <v>n/a</v>
      </c>
      <c r="S41" s="61">
        <f>IFERROR(M41/P41-1,"n/a")</f>
        <v>-0.35658607250025864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31</v>
      </c>
      <c r="G43" s="75">
        <f t="shared" si="32"/>
        <v>25</v>
      </c>
      <c r="H43" s="75">
        <f t="shared" si="32"/>
        <v>0</v>
      </c>
      <c r="I43" s="75">
        <f t="shared" si="32"/>
        <v>20</v>
      </c>
      <c r="J43" s="65">
        <f t="shared" ref="J43:J44" si="33">IFERROR(F43/G43-1,"n/a")</f>
        <v>0.24</v>
      </c>
      <c r="K43" s="65" t="str">
        <f t="shared" ref="K43:K44" si="34">IFERROR(F43/H43-1,"n/a")</f>
        <v>n/a</v>
      </c>
      <c r="L43" s="61">
        <f t="shared" ref="L43:L44" si="35">IFERROR(F43/I43-1,"n/a")</f>
        <v>0.55000000000000004</v>
      </c>
      <c r="M43" s="71">
        <f>+M16-'Mar-22'!M13</f>
        <v>725</v>
      </c>
      <c r="N43" s="71">
        <f>+N16-'Mar-22'!N13</f>
        <v>283</v>
      </c>
      <c r="O43" s="83">
        <f>+O16-'Mar-22'!O13</f>
        <v>0</v>
      </c>
      <c r="P43" s="71">
        <f>+P16-'Mar-22'!P13</f>
        <v>738</v>
      </c>
      <c r="Q43" s="65">
        <f>IFERROR(M43/N43-1,"n/a")</f>
        <v>1.5618374558303887</v>
      </c>
      <c r="R43" s="65" t="str">
        <f>IFERROR(M43/O43-1,"n/a")</f>
        <v>n/a</v>
      </c>
      <c r="S43" s="61">
        <f t="shared" ref="S43:S44" si="36">IFERROR(M43/P43-1,"n/a")</f>
        <v>-1.7615176151761558E-2</v>
      </c>
      <c r="T43" s="90">
        <v>336</v>
      </c>
      <c r="U43" s="71">
        <v>43</v>
      </c>
      <c r="V43" s="79">
        <v>781</v>
      </c>
    </row>
    <row r="44" spans="2:46" s="10" customFormat="1" ht="15" customHeight="1">
      <c r="C44" s="34"/>
      <c r="D44" s="27" t="s">
        <v>11</v>
      </c>
      <c r="E44" s="33"/>
      <c r="F44" s="75">
        <f t="shared" si="32"/>
        <v>88390</v>
      </c>
      <c r="G44" s="75">
        <f t="shared" si="32"/>
        <v>39214</v>
      </c>
      <c r="H44" s="75">
        <f t="shared" si="32"/>
        <v>0</v>
      </c>
      <c r="I44" s="75">
        <f t="shared" si="32"/>
        <v>58943</v>
      </c>
      <c r="J44" s="65">
        <f t="shared" si="33"/>
        <v>1.2540419238027236</v>
      </c>
      <c r="K44" s="65" t="str">
        <f t="shared" si="34"/>
        <v>n/a</v>
      </c>
      <c r="L44" s="61">
        <f t="shared" si="35"/>
        <v>0.49958434419693609</v>
      </c>
      <c r="M44" s="83">
        <f>+M17-'Mar-22'!M14</f>
        <v>1775170</v>
      </c>
      <c r="N44" s="83">
        <f>+N17-'Mar-22'!N14</f>
        <v>465109</v>
      </c>
      <c r="O44" s="83">
        <f>+O17-'Mar-22'!O14</f>
        <v>0</v>
      </c>
      <c r="P44" s="83">
        <f>+P17-'Mar-22'!P14</f>
        <v>2301042</v>
      </c>
      <c r="Q44" s="65">
        <f>IFERROR(M44/N44-1,"n/a")</f>
        <v>2.8166752309673648</v>
      </c>
      <c r="R44" s="65" t="str">
        <f>IFERROR(M44/O44-1,"n/a")</f>
        <v>n/a</v>
      </c>
      <c r="S44" s="61">
        <f t="shared" si="36"/>
        <v>-0.22853646304587227</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9</v>
      </c>
      <c r="G46" s="75">
        <f t="shared" si="37"/>
        <v>3</v>
      </c>
      <c r="H46" s="75">
        <f t="shared" si="37"/>
        <v>0</v>
      </c>
      <c r="I46" s="75">
        <f t="shared" si="37"/>
        <v>9</v>
      </c>
      <c r="J46" s="65">
        <f t="shared" ref="J46:J47" si="38">IFERROR(F46/G46-1,"n/a")</f>
        <v>2</v>
      </c>
      <c r="K46" s="65" t="str">
        <f t="shared" ref="K46:K47" si="39">IFERROR(F46/H46-1,"n/a")</f>
        <v>n/a</v>
      </c>
      <c r="L46" s="61">
        <f>IFERROR(F46/I46-1,"n/a")</f>
        <v>0</v>
      </c>
      <c r="M46" s="71">
        <f>+M19-'Mar-22'!M16</f>
        <v>465</v>
      </c>
      <c r="N46" s="83">
        <f>+N19-'Mar-22'!N16</f>
        <v>23</v>
      </c>
      <c r="O46" s="83">
        <f>+O19-'Mar-22'!O16</f>
        <v>1</v>
      </c>
      <c r="P46" s="83">
        <f>+P19-'Mar-22'!P16</f>
        <v>185</v>
      </c>
      <c r="Q46" s="65">
        <f>IFERROR(M46/N46-1,"n/a")</f>
        <v>19.217391304347824</v>
      </c>
      <c r="R46" s="65">
        <f>IFERROR(M46/O46-1,"n/a")</f>
        <v>464</v>
      </c>
      <c r="S46" s="61">
        <f t="shared" ref="S46:S47" si="40">IFERROR(M46/P46-1,"n/a")</f>
        <v>1.5135135135135136</v>
      </c>
      <c r="T46" s="90">
        <v>33</v>
      </c>
      <c r="U46" s="71">
        <v>4</v>
      </c>
      <c r="V46" s="79">
        <v>188</v>
      </c>
    </row>
    <row r="47" spans="2:46" s="10" customFormat="1" ht="15" customHeight="1">
      <c r="C47" s="34"/>
      <c r="D47" s="27" t="s">
        <v>11</v>
      </c>
      <c r="E47" s="33"/>
      <c r="F47" s="75">
        <f t="shared" si="37"/>
        <v>6157</v>
      </c>
      <c r="G47" s="75">
        <f t="shared" si="37"/>
        <v>864</v>
      </c>
      <c r="H47" s="75">
        <f t="shared" si="37"/>
        <v>0</v>
      </c>
      <c r="I47" s="75">
        <f t="shared" si="37"/>
        <v>9825</v>
      </c>
      <c r="J47" s="65">
        <f t="shared" si="38"/>
        <v>6.1261574074074074</v>
      </c>
      <c r="K47" s="65" t="str">
        <f t="shared" si="39"/>
        <v>n/a</v>
      </c>
      <c r="L47" s="61">
        <f t="shared" ref="L47" si="41">IFERROR(F47/I47-1,"n/a")</f>
        <v>-0.37333333333333329</v>
      </c>
      <c r="M47" s="83">
        <f>+M20-'Mar-22'!M17</f>
        <v>560512</v>
      </c>
      <c r="N47" s="83">
        <f>+N20-'Mar-22'!N17</f>
        <v>8611</v>
      </c>
      <c r="O47" s="83">
        <f>+O20-'Mar-22'!O17</f>
        <v>111</v>
      </c>
      <c r="P47" s="83">
        <f>+P20-'Mar-22'!P17</f>
        <v>249283</v>
      </c>
      <c r="Q47" s="65">
        <f>IFERROR(M47/N47-1,"n/a")</f>
        <v>64.092556032981065</v>
      </c>
      <c r="R47" s="65">
        <f>IFERROR(M47/O47-1,"n/a")</f>
        <v>5048.6576576576581</v>
      </c>
      <c r="S47" s="61">
        <f t="shared" si="40"/>
        <v>1.2484966885026254</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118</v>
      </c>
      <c r="G49" s="75">
        <f t="shared" si="42"/>
        <v>102</v>
      </c>
      <c r="H49" s="75">
        <f t="shared" si="42"/>
        <v>0</v>
      </c>
      <c r="I49" s="75">
        <f t="shared" si="42"/>
        <v>131</v>
      </c>
      <c r="J49" s="65">
        <f t="shared" ref="J49:J50" si="43">IFERROR(F49/G49-1,"n/a")</f>
        <v>0.15686274509803932</v>
      </c>
      <c r="K49" s="65" t="str">
        <f t="shared" ref="K49:K50" si="44">IFERROR(F49/H49-1,"n/a")</f>
        <v>n/a</v>
      </c>
      <c r="L49" s="61">
        <f t="shared" ref="L49:L50" si="45">IFERROR(F49/I49-1,"n/a")</f>
        <v>-9.92366412213741E-2</v>
      </c>
      <c r="M49" s="71">
        <f>+M22-'Mar-22'!M19</f>
        <v>807</v>
      </c>
      <c r="N49" s="71">
        <f>+N22-'Mar-22'!N19</f>
        <v>411</v>
      </c>
      <c r="O49" s="71">
        <f>+O22-'Mar-22'!O19</f>
        <v>42</v>
      </c>
      <c r="P49" s="71">
        <f>+P22-'Mar-22'!P19</f>
        <v>889</v>
      </c>
      <c r="Q49" s="65">
        <f>IFERROR(M49/N49-1,"n/a")</f>
        <v>0.96350364963503643</v>
      </c>
      <c r="R49" s="65">
        <f>IFERROR(M49/O49-1,"n/a")</f>
        <v>18.214285714285715</v>
      </c>
      <c r="S49" s="61">
        <f>IFERROR(M49/P49-1,"n/a")</f>
        <v>-9.2238470191226107E-2</v>
      </c>
      <c r="T49" s="90">
        <v>744</v>
      </c>
      <c r="U49" s="85">
        <v>406</v>
      </c>
      <c r="V49" s="79">
        <v>1253</v>
      </c>
    </row>
    <row r="50" spans="1:46" s="10" customFormat="1" ht="15" customHeight="1">
      <c r="C50" s="34"/>
      <c r="D50" s="27" t="s">
        <v>11</v>
      </c>
      <c r="E50" s="33"/>
      <c r="F50" s="75">
        <f t="shared" si="42"/>
        <v>409516</v>
      </c>
      <c r="G50" s="75">
        <f t="shared" si="42"/>
        <v>200450</v>
      </c>
      <c r="H50" s="75">
        <f t="shared" si="42"/>
        <v>0</v>
      </c>
      <c r="I50" s="75">
        <f t="shared" si="42"/>
        <v>386408</v>
      </c>
      <c r="J50" s="65">
        <f t="shared" si="43"/>
        <v>1.0429832876028935</v>
      </c>
      <c r="K50" s="65" t="str">
        <f t="shared" si="44"/>
        <v>n/a</v>
      </c>
      <c r="L50" s="61">
        <f t="shared" si="45"/>
        <v>5.9802074491211332E-2</v>
      </c>
      <c r="M50" s="83">
        <f>+M23-'Mar-22'!M20</f>
        <v>2609316</v>
      </c>
      <c r="N50" s="83">
        <f>+N23-'Mar-22'!N20</f>
        <v>687449</v>
      </c>
      <c r="O50" s="83">
        <f>+O23-'Mar-22'!O20</f>
        <v>0</v>
      </c>
      <c r="P50" s="83">
        <f>+P23-'Mar-22'!P20</f>
        <v>2793459</v>
      </c>
      <c r="Q50" s="65">
        <f>IFERROR(M50/N50-1,"n/a")</f>
        <v>2.7956502955128308</v>
      </c>
      <c r="R50" s="65" t="str">
        <f>IFERROR(M50/O50-1,"n/a")</f>
        <v>n/a</v>
      </c>
      <c r="S50" s="61">
        <f t="shared" ref="S50" si="46">IFERROR(M50/P50-1,"n/a")</f>
        <v>-6.5919349451701303E-2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5</v>
      </c>
      <c r="G52" s="75">
        <f t="shared" si="47"/>
        <v>7</v>
      </c>
      <c r="H52" s="75">
        <f t="shared" si="47"/>
        <v>3</v>
      </c>
      <c r="I52" s="75">
        <f t="shared" si="47"/>
        <v>44</v>
      </c>
      <c r="J52" s="65">
        <f t="shared" ref="J52:J53" si="48">IFERROR(F52/G52-1,"n/a")</f>
        <v>-0.2857142857142857</v>
      </c>
      <c r="K52" s="65">
        <f t="shared" ref="K52:K53" si="49">IFERROR(F52/H52-1,"n/a")</f>
        <v>0.66666666666666674</v>
      </c>
      <c r="L52" s="61">
        <f t="shared" ref="L52:L53" si="50">IFERROR(F52/I52-1,"n/a")</f>
        <v>-0.88636363636363635</v>
      </c>
      <c r="M52" s="71">
        <f>+M25-'Mar-22'!M22</f>
        <v>260</v>
      </c>
      <c r="N52" s="71">
        <f>+N25-'Mar-22'!N22</f>
        <v>98</v>
      </c>
      <c r="O52" s="83">
        <f>+O25-'Mar-22'!O22</f>
        <v>23</v>
      </c>
      <c r="P52" s="71">
        <f>+P25-'Mar-22'!P22</f>
        <v>352</v>
      </c>
      <c r="Q52" s="65">
        <f>IFERROR(M52/N52-1,"n/a")</f>
        <v>1.6530612244897958</v>
      </c>
      <c r="R52" s="65">
        <f>IFERROR(M52/O52-1,"n/a")</f>
        <v>10.304347826086957</v>
      </c>
      <c r="S52" s="61">
        <f t="shared" ref="S52:S53" si="51">IFERROR(M52/P52-1,"n/a")</f>
        <v>-0.26136363636363635</v>
      </c>
      <c r="T52" s="90">
        <v>121</v>
      </c>
      <c r="U52" s="71">
        <v>41</v>
      </c>
      <c r="V52" s="79">
        <v>361</v>
      </c>
    </row>
    <row r="53" spans="1:46" s="10" customFormat="1" ht="15" customHeight="1">
      <c r="C53" s="34"/>
      <c r="D53" s="27" t="s">
        <v>11</v>
      </c>
      <c r="E53" s="33"/>
      <c r="F53" s="75">
        <f t="shared" si="47"/>
        <v>20252</v>
      </c>
      <c r="G53" s="75">
        <f t="shared" si="47"/>
        <v>13748</v>
      </c>
      <c r="H53" s="75">
        <f t="shared" si="47"/>
        <v>1045</v>
      </c>
      <c r="I53" s="75">
        <f t="shared" si="47"/>
        <v>52611</v>
      </c>
      <c r="J53" s="65">
        <f t="shared" si="48"/>
        <v>0.47308699447192315</v>
      </c>
      <c r="K53" s="65">
        <f t="shared" si="49"/>
        <v>18.379904306220094</v>
      </c>
      <c r="L53" s="61">
        <f t="shared" si="50"/>
        <v>-0.61506148904221547</v>
      </c>
      <c r="M53" s="83">
        <f>+M26-'Mar-22'!M23</f>
        <v>503884</v>
      </c>
      <c r="N53" s="83">
        <f>+N26-'Mar-22'!N23</f>
        <v>139168</v>
      </c>
      <c r="O53" s="83">
        <f>+O26-'Mar-22'!O23</f>
        <v>18959</v>
      </c>
      <c r="P53" s="83">
        <f>+P26-'Mar-22'!P23</f>
        <v>825740</v>
      </c>
      <c r="Q53" s="65">
        <f>IFERROR(M53/N53-1,"n/a")</f>
        <v>2.6206886640607037</v>
      </c>
      <c r="R53" s="65">
        <f>IFERROR(M53/O53-1,"n/a")</f>
        <v>25.577562107706104</v>
      </c>
      <c r="S53" s="61">
        <f t="shared" si="51"/>
        <v>-0.38977886501804437</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 customHeight="1">
      <c r="A55"/>
      <c r="B55"/>
      <c r="C55" s="34"/>
      <c r="D55" s="27" t="s">
        <v>5</v>
      </c>
      <c r="E55" s="33"/>
      <c r="F55" s="75">
        <f t="shared" ref="F55:I56" si="52">F28</f>
        <v>37</v>
      </c>
      <c r="G55" s="75">
        <f t="shared" si="52"/>
        <v>0</v>
      </c>
      <c r="H55" s="75">
        <f t="shared" si="52"/>
        <v>5</v>
      </c>
      <c r="I55" s="75">
        <f t="shared" si="52"/>
        <v>18</v>
      </c>
      <c r="J55" s="65" t="str">
        <f t="shared" ref="J55:J58" si="53">IFERROR(F55/G55-1,"n/a")</f>
        <v>n/a</v>
      </c>
      <c r="K55" s="65">
        <f t="shared" ref="K55:K58" si="54">IFERROR(F55/H55-1,"n/a")</f>
        <v>6.4</v>
      </c>
      <c r="L55" s="61">
        <f t="shared" ref="L55:L58" si="55">IFERROR(F55/I55-1,"n/a")</f>
        <v>1.0555555555555554</v>
      </c>
      <c r="M55" s="71">
        <f>+M28-'Mar-22'!M25</f>
        <v>589</v>
      </c>
      <c r="N55" s="71">
        <f>+N28-'Mar-22'!N25</f>
        <v>124</v>
      </c>
      <c r="O55" s="71">
        <f>+O28-'Mar-22'!O25</f>
        <v>36</v>
      </c>
      <c r="P55" s="71">
        <f>+P28-'Mar-22'!P25</f>
        <v>359</v>
      </c>
      <c r="Q55" s="65">
        <f>IFERROR(M55/N55-1,"n/a")</f>
        <v>3.75</v>
      </c>
      <c r="R55" s="65">
        <f>IFERROR(M55/O55-1,"n/a")</f>
        <v>15.361111111111111</v>
      </c>
      <c r="S55" s="61">
        <f t="shared" ref="S55:S58" si="56">IFERROR(M55/P55-1,"n/a")</f>
        <v>0.64066852367688032</v>
      </c>
      <c r="T55" s="90">
        <v>140</v>
      </c>
      <c r="U55" s="71">
        <v>40</v>
      </c>
      <c r="V55" s="79">
        <v>360</v>
      </c>
      <c r="AM55"/>
      <c r="AN55"/>
      <c r="AO55"/>
      <c r="AP55"/>
      <c r="AQ55"/>
      <c r="AR55"/>
      <c r="AS55"/>
      <c r="AT55"/>
    </row>
    <row r="56" spans="1:46" s="10" customFormat="1" ht="15.4" customHeight="1">
      <c r="A56"/>
      <c r="B56"/>
      <c r="C56" s="34"/>
      <c r="D56" s="27" t="s">
        <v>11</v>
      </c>
      <c r="E56" s="33"/>
      <c r="F56" s="75">
        <f t="shared" si="52"/>
        <v>129814</v>
      </c>
      <c r="G56" s="75">
        <f t="shared" si="52"/>
        <v>0</v>
      </c>
      <c r="H56" s="75">
        <f t="shared" si="52"/>
        <v>10369</v>
      </c>
      <c r="I56" s="75">
        <f t="shared" si="52"/>
        <v>10666</v>
      </c>
      <c r="J56" s="65" t="str">
        <f t="shared" si="53"/>
        <v>n/a</v>
      </c>
      <c r="K56" s="65">
        <f t="shared" si="54"/>
        <v>11.519432925065098</v>
      </c>
      <c r="L56" s="61">
        <f t="shared" si="55"/>
        <v>11.170823176448527</v>
      </c>
      <c r="M56" s="83">
        <f>+M29-'Mar-22'!M26</f>
        <v>1086643</v>
      </c>
      <c r="N56" s="83">
        <f>+N29-'Mar-22'!N26</f>
        <v>162944</v>
      </c>
      <c r="O56" s="83">
        <f>+O29-'Mar-22'!O26</f>
        <v>28170</v>
      </c>
      <c r="P56" s="83">
        <f>+P29-'Mar-22'!P26</f>
        <v>861055</v>
      </c>
      <c r="Q56" s="65">
        <f>IFERROR(M56/N56-1,"n/a")</f>
        <v>5.6688125981932442</v>
      </c>
      <c r="R56" s="65">
        <f>IFERROR(M56/O56-1,"n/a")</f>
        <v>37.574476393326236</v>
      </c>
      <c r="S56" s="61">
        <f t="shared" si="56"/>
        <v>0.261990232911951</v>
      </c>
      <c r="T56" s="83">
        <v>174336</v>
      </c>
      <c r="U56" s="85">
        <v>21928</v>
      </c>
      <c r="V56" s="79">
        <f>706948+155011</f>
        <v>861959</v>
      </c>
      <c r="AM56"/>
      <c r="AN56"/>
      <c r="AO56"/>
      <c r="AP56"/>
      <c r="AQ56"/>
      <c r="AR56"/>
      <c r="AS56"/>
      <c r="AT56"/>
    </row>
    <row r="57" spans="1:46" s="10" customFormat="1" ht="26.65" customHeight="1" thickBot="1">
      <c r="A57"/>
      <c r="B57"/>
      <c r="C57" s="36" t="s">
        <v>12</v>
      </c>
      <c r="D57" s="37"/>
      <c r="E57" s="38"/>
      <c r="F57" s="76">
        <f t="shared" ref="F57:I58" si="57">F40+F43+F46+F49+F52+F55</f>
        <v>273</v>
      </c>
      <c r="G57" s="76">
        <f t="shared" si="57"/>
        <v>207</v>
      </c>
      <c r="H57" s="76">
        <f t="shared" si="57"/>
        <v>8</v>
      </c>
      <c r="I57" s="76">
        <f t="shared" si="57"/>
        <v>291</v>
      </c>
      <c r="J57" s="67">
        <f t="shared" si="53"/>
        <v>0.31884057971014501</v>
      </c>
      <c r="K57" s="67">
        <f t="shared" si="54"/>
        <v>33.125</v>
      </c>
      <c r="L57" s="63">
        <f t="shared" si="55"/>
        <v>-6.1855670103092786E-2</v>
      </c>
      <c r="M57" s="47">
        <f t="shared" ref="M57:P58" si="58">M40+M43+M46+M49+M52+M55</f>
        <v>2995</v>
      </c>
      <c r="N57" s="47">
        <f t="shared" si="58"/>
        <v>1050</v>
      </c>
      <c r="O57" s="47">
        <f t="shared" si="58"/>
        <v>102</v>
      </c>
      <c r="P57" s="47">
        <f t="shared" si="58"/>
        <v>2709</v>
      </c>
      <c r="Q57" s="67">
        <f>IFERROR(M57/N57-1,"n/a")</f>
        <v>1.8523809523809525</v>
      </c>
      <c r="R57" s="67">
        <f>IFERROR(M57/O57-1,"n/a")</f>
        <v>28.362745098039216</v>
      </c>
      <c r="S57" s="63">
        <f t="shared" si="56"/>
        <v>0.10557401255075671</v>
      </c>
      <c r="T57" s="47">
        <f t="shared" ref="T57:V58" si="59">T40+T43+T46+T49+T52+T55</f>
        <v>1682</v>
      </c>
      <c r="U57" s="47">
        <f t="shared" si="59"/>
        <v>679</v>
      </c>
      <c r="V57" s="81">
        <f t="shared" si="59"/>
        <v>3274</v>
      </c>
      <c r="AM57"/>
      <c r="AN57"/>
      <c r="AO57"/>
      <c r="AP57"/>
      <c r="AQ57"/>
      <c r="AR57"/>
      <c r="AS57"/>
      <c r="AT57"/>
    </row>
    <row r="58" spans="1:46" s="10" customFormat="1" ht="26.65" customHeight="1" thickTop="1" thickBot="1">
      <c r="A58"/>
      <c r="B58"/>
      <c r="C58" s="39" t="s">
        <v>13</v>
      </c>
      <c r="D58" s="40"/>
      <c r="E58" s="41"/>
      <c r="F58" s="77">
        <f t="shared" si="57"/>
        <v>763347</v>
      </c>
      <c r="G58" s="77">
        <f t="shared" si="57"/>
        <v>307043</v>
      </c>
      <c r="H58" s="77">
        <f t="shared" si="57"/>
        <v>11414</v>
      </c>
      <c r="I58" s="77">
        <f t="shared" si="57"/>
        <v>638656</v>
      </c>
      <c r="J58" s="68">
        <f t="shared" si="53"/>
        <v>1.48612409336803</v>
      </c>
      <c r="K58" s="68">
        <f t="shared" si="54"/>
        <v>65.87813211845102</v>
      </c>
      <c r="L58" s="64">
        <f t="shared" si="55"/>
        <v>0.19523969085078674</v>
      </c>
      <c r="M58" s="48">
        <f t="shared" si="58"/>
        <v>6759379</v>
      </c>
      <c r="N58" s="48">
        <f t="shared" si="58"/>
        <v>1544144</v>
      </c>
      <c r="O58" s="48">
        <f t="shared" si="58"/>
        <v>47240</v>
      </c>
      <c r="P58" s="48">
        <f t="shared" si="58"/>
        <v>7378495</v>
      </c>
      <c r="Q58" s="68">
        <f>IFERROR(M58/N58-1,"n/a")</f>
        <v>3.3774278823736648</v>
      </c>
      <c r="R58" s="68">
        <f>IFERROR(M58/O58-1,"n/a")</f>
        <v>142.08592294665539</v>
      </c>
      <c r="S58" s="64">
        <f t="shared" si="56"/>
        <v>-8.3908168264666405E-2</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44910</v>
      </c>
    </row>
    <row r="4" spans="1:38" ht="15.75">
      <c r="A4" s="10"/>
      <c r="B4" s="12" t="s">
        <v>7</v>
      </c>
      <c r="C4" s="27"/>
      <c r="D4" s="25"/>
      <c r="E4" s="59" t="s">
        <v>93</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7" t="s">
        <v>27</v>
      </c>
      <c r="G9" s="117"/>
      <c r="H9" s="117"/>
      <c r="I9" s="117"/>
      <c r="J9" s="117"/>
      <c r="K9" s="117"/>
      <c r="L9" s="118"/>
      <c r="M9" s="119" t="s">
        <v>94</v>
      </c>
      <c r="N9" s="117"/>
      <c r="O9" s="117"/>
      <c r="P9" s="117"/>
      <c r="Q9" s="117"/>
      <c r="R9" s="117"/>
      <c r="S9" s="118"/>
      <c r="T9" s="119" t="s">
        <v>57</v>
      </c>
      <c r="U9" s="117"/>
      <c r="V9" s="120"/>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5">
      <c r="A14" s="10"/>
      <c r="B14" s="13"/>
      <c r="C14" s="34"/>
      <c r="D14" s="27" t="s">
        <v>11</v>
      </c>
      <c r="E14" s="33"/>
      <c r="F14" s="74">
        <v>64272</v>
      </c>
      <c r="G14" s="72">
        <v>23175</v>
      </c>
      <c r="H14" s="72">
        <v>0</v>
      </c>
      <c r="I14" s="72">
        <v>89764</v>
      </c>
      <c r="J14" s="65">
        <f t="shared" si="0"/>
        <v>1.7733333333333334</v>
      </c>
      <c r="K14" s="65" t="str">
        <f t="shared" ref="K14" si="2">IFERROR(F14/H14-1,"n/a")</f>
        <v>n/a</v>
      </c>
      <c r="L14" s="61">
        <f t="shared" si="1"/>
        <v>-0.28398912704424939</v>
      </c>
      <c r="M14" s="69">
        <f>F14+'Oct-22'!M14</f>
        <v>270964</v>
      </c>
      <c r="N14" s="69">
        <f>G14+'Oct-22'!N14</f>
        <v>28096</v>
      </c>
      <c r="O14" s="69">
        <f>H14+'Oct-22'!O14</f>
        <v>258885</v>
      </c>
      <c r="P14" s="69">
        <f>I14+'Oct-22'!P14</f>
        <v>613093</v>
      </c>
      <c r="Q14" s="65">
        <f>IFERROR(M14/N14-1,"n/a")</f>
        <v>8.6442198177676541</v>
      </c>
      <c r="R14" s="65">
        <f>IFERROR(M14/O14-1,"n/a")</f>
        <v>4.6657782413040527E-2</v>
      </c>
      <c r="S14" s="61">
        <f>IFERROR(M14/P14-1,"n/a")</f>
        <v>-0.55803768759388861</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5">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5">
      <c r="A18" s="10"/>
      <c r="B18" s="13"/>
      <c r="C18" s="32" t="s">
        <v>15</v>
      </c>
      <c r="D18" s="27"/>
      <c r="E18" s="33"/>
      <c r="F18" s="73"/>
      <c r="G18" s="73"/>
      <c r="H18" s="73"/>
      <c r="I18" s="73"/>
      <c r="J18" s="65"/>
      <c r="K18" s="65"/>
      <c r="L18" s="61"/>
      <c r="M18" s="88"/>
      <c r="N18" s="88"/>
      <c r="O18" s="88"/>
      <c r="P18" s="88"/>
      <c r="Q18" s="65"/>
      <c r="R18" s="65"/>
      <c r="S18" s="61"/>
      <c r="T18" s="44"/>
      <c r="U18" s="45"/>
      <c r="V18" s="80"/>
    </row>
    <row r="19" spans="1:46" ht="15">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5">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555827</v>
      </c>
      <c r="N20" s="69">
        <f>G20+'Oct-22'!N20</f>
        <v>7747</v>
      </c>
      <c r="O20" s="69">
        <f>H20+'Oct-22'!O20</f>
        <v>1753</v>
      </c>
      <c r="P20" s="69">
        <f>I20+'Oct-22'!P20</f>
        <v>244596</v>
      </c>
      <c r="Q20" s="65">
        <f t="shared" si="9"/>
        <v>70.74738608493611</v>
      </c>
      <c r="R20" s="65">
        <f t="shared" si="10"/>
        <v>316.07187678265831</v>
      </c>
      <c r="S20" s="61">
        <f t="shared" si="11"/>
        <v>1.2724288214034569</v>
      </c>
      <c r="T20" s="69">
        <v>8611</v>
      </c>
      <c r="U20" s="71">
        <v>1753</v>
      </c>
      <c r="V20" s="79">
        <v>254421</v>
      </c>
    </row>
    <row r="21" spans="1:46" ht="15">
      <c r="A21" s="10"/>
      <c r="B21" s="13"/>
      <c r="C21" s="32" t="s">
        <v>10</v>
      </c>
      <c r="D21" s="27"/>
      <c r="E21" s="35"/>
      <c r="F21" s="73"/>
      <c r="G21" s="73"/>
      <c r="H21" s="73"/>
      <c r="I21" s="73"/>
      <c r="J21" s="65"/>
      <c r="K21" s="65"/>
      <c r="L21" s="61"/>
      <c r="M21" s="88"/>
      <c r="N21" s="88"/>
      <c r="O21" s="88"/>
      <c r="P21" s="88"/>
      <c r="Q21" s="65"/>
      <c r="R21" s="65"/>
      <c r="S21" s="61"/>
      <c r="T21" s="44"/>
      <c r="U21" s="45"/>
      <c r="V21" s="80"/>
    </row>
    <row r="22" spans="1:46" ht="15">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5">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5">
      <c r="A24" s="10"/>
      <c r="B24" s="13"/>
      <c r="C24" s="32" t="s">
        <v>16</v>
      </c>
      <c r="D24" s="27"/>
      <c r="E24" s="33"/>
      <c r="F24" s="73"/>
      <c r="G24" s="73"/>
      <c r="H24" s="73"/>
      <c r="I24" s="73"/>
      <c r="J24" s="65"/>
      <c r="K24" s="65"/>
      <c r="L24" s="61"/>
      <c r="M24" s="88"/>
      <c r="N24" s="88"/>
      <c r="O24" s="88"/>
      <c r="P24" s="88"/>
      <c r="Q24" s="65"/>
      <c r="R24" s="65"/>
      <c r="S24" s="61"/>
      <c r="T24" s="44"/>
      <c r="U24" s="45"/>
      <c r="V24" s="80"/>
    </row>
    <row r="25" spans="1:46" ht="15">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5">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5">
      <c r="A27" s="10"/>
      <c r="B27" s="13"/>
      <c r="C27" s="32" t="s">
        <v>17</v>
      </c>
      <c r="D27" s="27"/>
      <c r="E27" s="33"/>
      <c r="F27" s="73"/>
      <c r="G27" s="73"/>
      <c r="H27" s="73"/>
      <c r="I27" s="73"/>
      <c r="J27" s="65"/>
      <c r="K27" s="65"/>
      <c r="L27" s="61"/>
      <c r="M27" s="88"/>
      <c r="N27" s="88"/>
      <c r="O27" s="88"/>
      <c r="P27" s="88"/>
      <c r="Q27" s="65"/>
      <c r="R27" s="65"/>
      <c r="S27" s="61"/>
      <c r="T27" s="44"/>
      <c r="U27" s="45"/>
      <c r="V27" s="80"/>
    </row>
    <row r="28" spans="1:46" ht="15">
      <c r="B28" s="13"/>
      <c r="C28" s="34"/>
      <c r="D28" s="27" t="s">
        <v>5</v>
      </c>
      <c r="E28" s="33"/>
      <c r="F28" s="75">
        <f>24+38</f>
        <v>62</v>
      </c>
      <c r="G28" s="72">
        <v>20</v>
      </c>
      <c r="H28" s="72">
        <v>8</v>
      </c>
      <c r="I28" s="72">
        <v>17</v>
      </c>
      <c r="J28" s="65">
        <f t="shared" si="0"/>
        <v>2.1</v>
      </c>
      <c r="K28" s="65">
        <f t="shared" ref="K28:K31" si="21">IFERROR(F28/H28-1,"n/a")</f>
        <v>6.75</v>
      </c>
      <c r="L28" s="61">
        <f t="shared" si="12"/>
        <v>2.6470588235294117</v>
      </c>
      <c r="M28" s="69">
        <f>F28+'Oct-22'!M28</f>
        <v>568</v>
      </c>
      <c r="N28" s="69">
        <f>G28+'Oct-22'!N28</f>
        <v>127</v>
      </c>
      <c r="O28" s="69">
        <f>H28+'Oct-22'!O28</f>
        <v>32</v>
      </c>
      <c r="P28" s="69">
        <f>I28+'Oct-22'!P28</f>
        <v>345</v>
      </c>
      <c r="Q28" s="65">
        <f t="shared" ref="Q28:Q31" si="22">IFERROR(M28/N28-1,"n/a")</f>
        <v>3.4724409448818898</v>
      </c>
      <c r="R28" s="65">
        <f t="shared" ref="R28:R31" si="23">IFERROR(M28/O28-1,"n/a")</f>
        <v>16.75</v>
      </c>
      <c r="S28" s="61">
        <f t="shared" ref="S28:S31" si="24">IFERROR(M28/P28-1,"n/a")</f>
        <v>0.64637681159420279</v>
      </c>
      <c r="T28" s="69">
        <v>127</v>
      </c>
      <c r="U28" s="71">
        <v>37</v>
      </c>
      <c r="V28" s="79">
        <f>282+81</f>
        <v>363</v>
      </c>
    </row>
    <row r="29" spans="1:46" ht="15">
      <c r="A29" s="10"/>
      <c r="B29" s="13"/>
      <c r="C29" s="34"/>
      <c r="D29" s="27" t="s">
        <v>11</v>
      </c>
      <c r="E29" s="33"/>
      <c r="F29" s="75">
        <f>35743+775+99553</f>
        <v>136071</v>
      </c>
      <c r="G29" s="72">
        <v>14810</v>
      </c>
      <c r="H29" s="72">
        <v>2381</v>
      </c>
      <c r="I29" s="72">
        <v>16811</v>
      </c>
      <c r="J29" s="65">
        <f t="shared" si="0"/>
        <v>8.1877785280216067</v>
      </c>
      <c r="K29" s="65">
        <f t="shared" si="21"/>
        <v>56.148677026459474</v>
      </c>
      <c r="L29" s="61">
        <f t="shared" si="12"/>
        <v>7.0941645351258114</v>
      </c>
      <c r="M29" s="69">
        <f>F29+'Oct-22'!M29</f>
        <v>968429</v>
      </c>
      <c r="N29" s="69">
        <f>G29+'Oct-22'!N29</f>
        <v>165083</v>
      </c>
      <c r="O29" s="69">
        <f>H29+'Oct-22'!O29</f>
        <v>18693</v>
      </c>
      <c r="P29" s="69">
        <f>I29+'Oct-22'!P29</f>
        <v>856498</v>
      </c>
      <c r="Q29" s="65">
        <f t="shared" si="22"/>
        <v>4.8663157320862842</v>
      </c>
      <c r="R29" s="65">
        <f t="shared" si="23"/>
        <v>50.807040068474834</v>
      </c>
      <c r="S29" s="61">
        <f t="shared" si="24"/>
        <v>0.13068448496085217</v>
      </c>
      <c r="T29" s="69">
        <v>165083</v>
      </c>
      <c r="U29" s="71">
        <f>20768+8294</f>
        <v>29062</v>
      </c>
      <c r="V29" s="79">
        <f>659951+168729+38484</f>
        <v>867164</v>
      </c>
    </row>
    <row r="30" spans="1:46" ht="15" customHeight="1" thickBot="1">
      <c r="A30" s="10"/>
      <c r="B30" s="13"/>
      <c r="C30" s="36" t="s">
        <v>12</v>
      </c>
      <c r="D30" s="37"/>
      <c r="E30" s="38"/>
      <c r="F30" s="76">
        <f t="shared" ref="F30:I31" si="25">F13+F16+F19+F22+F25+F28</f>
        <v>340</v>
      </c>
      <c r="G30" s="76">
        <f>G13+G16+G19+G22+G25+G28</f>
        <v>224</v>
      </c>
      <c r="H30" s="76">
        <f t="shared" si="25"/>
        <v>13</v>
      </c>
      <c r="I30" s="76">
        <f t="shared" si="25"/>
        <v>314</v>
      </c>
      <c r="J30" s="67">
        <f t="shared" si="0"/>
        <v>0.51785714285714279</v>
      </c>
      <c r="K30" s="67">
        <f t="shared" si="21"/>
        <v>25.153846153846153</v>
      </c>
      <c r="L30" s="63">
        <f t="shared" si="12"/>
        <v>8.2802547770700619E-2</v>
      </c>
      <c r="M30" s="47">
        <f t="shared" ref="M30:P31" si="26">M13+M16+M19+M22+M25+M28</f>
        <v>3354</v>
      </c>
      <c r="N30" s="47">
        <f t="shared" si="26"/>
        <v>855</v>
      </c>
      <c r="O30" s="47">
        <f t="shared" si="26"/>
        <v>659</v>
      </c>
      <c r="P30" s="47">
        <f t="shared" si="26"/>
        <v>3053</v>
      </c>
      <c r="Q30" s="67">
        <f t="shared" si="22"/>
        <v>2.9228070175438599</v>
      </c>
      <c r="R30" s="67">
        <f t="shared" si="23"/>
        <v>4.0895295902883158</v>
      </c>
      <c r="S30" s="63">
        <f t="shared" si="24"/>
        <v>9.8591549295774739E-2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779647</v>
      </c>
      <c r="G31" s="77">
        <f t="shared" si="25"/>
        <v>304659</v>
      </c>
      <c r="H31" s="77">
        <f t="shared" si="25"/>
        <v>4854</v>
      </c>
      <c r="I31" s="77">
        <f t="shared" si="25"/>
        <v>745517</v>
      </c>
      <c r="J31" s="68">
        <f t="shared" si="0"/>
        <v>1.5590808083792043</v>
      </c>
      <c r="K31" s="68">
        <f t="shared" si="21"/>
        <v>159.61948908117017</v>
      </c>
      <c r="L31" s="64">
        <f t="shared" si="12"/>
        <v>4.5780310844689032E-2</v>
      </c>
      <c r="M31" s="48">
        <f t="shared" si="26"/>
        <v>6863737</v>
      </c>
      <c r="N31" s="48">
        <f t="shared" si="26"/>
        <v>1247204</v>
      </c>
      <c r="O31" s="48">
        <f t="shared" si="26"/>
        <v>1312017</v>
      </c>
      <c r="P31" s="48">
        <f t="shared" si="26"/>
        <v>8530365</v>
      </c>
      <c r="Q31" s="68">
        <f t="shared" si="22"/>
        <v>4.5032993800533037</v>
      </c>
      <c r="R31" s="68">
        <f t="shared" si="23"/>
        <v>4.231439074341262</v>
      </c>
      <c r="S31" s="64">
        <f t="shared" si="24"/>
        <v>-0.19537593057272462</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 customHeight="1">
      <c r="F33" s="42"/>
      <c r="G33" s="42"/>
      <c r="H33" s="42"/>
      <c r="I33" s="42"/>
      <c r="J33" s="42"/>
      <c r="K33" s="42"/>
      <c r="AM33"/>
      <c r="AN33"/>
      <c r="AO33"/>
      <c r="AP33"/>
      <c r="AQ33"/>
      <c r="AR33"/>
      <c r="AS33"/>
      <c r="AT33"/>
    </row>
    <row r="34" spans="2:46" s="10" customFormat="1" ht="15">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5">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17" t="str">
        <f>F9</f>
        <v>November</v>
      </c>
      <c r="G36" s="117"/>
      <c r="H36" s="117"/>
      <c r="I36" s="117"/>
      <c r="J36" s="117"/>
      <c r="K36" s="117"/>
      <c r="L36" s="118"/>
      <c r="M36" s="119" t="s">
        <v>95</v>
      </c>
      <c r="N36" s="117"/>
      <c r="O36" s="117"/>
      <c r="P36" s="117"/>
      <c r="Q36" s="117"/>
      <c r="R36" s="117"/>
      <c r="S36" s="118"/>
      <c r="T36" s="119" t="s">
        <v>58</v>
      </c>
      <c r="U36" s="117"/>
      <c r="V36" s="120"/>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64272</v>
      </c>
      <c r="G41" s="75">
        <f t="shared" si="28"/>
        <v>23175</v>
      </c>
      <c r="H41" s="75">
        <f t="shared" si="28"/>
        <v>0</v>
      </c>
      <c r="I41" s="75">
        <f t="shared" si="28"/>
        <v>89764</v>
      </c>
      <c r="J41" s="65">
        <f t="shared" si="29"/>
        <v>1.7733333333333334</v>
      </c>
      <c r="K41" s="65" t="str">
        <f t="shared" ref="K41" si="31">IFERROR(F41/H41-1,"n/a")</f>
        <v>n/a</v>
      </c>
      <c r="L41" s="61">
        <f t="shared" si="30"/>
        <v>-0.28398912704424939</v>
      </c>
      <c r="M41" s="83">
        <f>+M14-'Mar-22'!M11</f>
        <v>114636</v>
      </c>
      <c r="N41" s="83">
        <f>+N14-'Mar-22'!N11</f>
        <v>28096</v>
      </c>
      <c r="O41" s="83">
        <f>+O14-'Mar-22'!O11</f>
        <v>0</v>
      </c>
      <c r="P41" s="83">
        <f>+P14-'Mar-22'!P11</f>
        <v>227713</v>
      </c>
      <c r="Q41" s="65">
        <f>IFERROR(M41/N41-1,"n/a")</f>
        <v>3.0801537585421412</v>
      </c>
      <c r="R41" s="65" t="str">
        <f>IFERROR(M41/O41-1,"n/a")</f>
        <v>n/a</v>
      </c>
      <c r="S41" s="61">
        <f>IFERROR(M41/P41-1,"n/a")</f>
        <v>-0.49657683136228503</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554355</v>
      </c>
      <c r="N47" s="83">
        <f>+N20-'Mar-22'!N17</f>
        <v>7747</v>
      </c>
      <c r="O47" s="83">
        <f>+O20-'Mar-22'!O17</f>
        <v>111</v>
      </c>
      <c r="P47" s="83">
        <f>+P20-'Mar-22'!P17</f>
        <v>239458</v>
      </c>
      <c r="Q47" s="65">
        <f>IFERROR(M47/N47-1,"n/a")</f>
        <v>70.557377049180332</v>
      </c>
      <c r="R47" s="65">
        <f>IFERROR(M47/O47-1,"n/a")</f>
        <v>4993.1891891891892</v>
      </c>
      <c r="S47" s="61">
        <f t="shared" si="40"/>
        <v>1.3150406334304972</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 customHeight="1">
      <c r="A55"/>
      <c r="B55"/>
      <c r="C55" s="34"/>
      <c r="D55" s="27" t="s">
        <v>5</v>
      </c>
      <c r="E55" s="33"/>
      <c r="F55" s="75">
        <f t="shared" ref="F55:I56" si="52">F28</f>
        <v>62</v>
      </c>
      <c r="G55" s="75">
        <f t="shared" si="52"/>
        <v>20</v>
      </c>
      <c r="H55" s="75">
        <f t="shared" si="52"/>
        <v>8</v>
      </c>
      <c r="I55" s="75">
        <f t="shared" si="52"/>
        <v>17</v>
      </c>
      <c r="J55" s="65">
        <f t="shared" ref="J55:J58" si="53">IFERROR(F55/G55-1,"n/a")</f>
        <v>2.1</v>
      </c>
      <c r="K55" s="65">
        <f t="shared" ref="K55:K58" si="54">IFERROR(F55/H55-1,"n/a")</f>
        <v>6.75</v>
      </c>
      <c r="L55" s="61">
        <f t="shared" ref="L55:L58" si="55">IFERROR(F55/I55-1,"n/a")</f>
        <v>2.6470588235294117</v>
      </c>
      <c r="M55" s="71">
        <f>+M28-'Mar-22'!M25</f>
        <v>552</v>
      </c>
      <c r="N55" s="71">
        <f>+N28-'Mar-22'!N25</f>
        <v>124</v>
      </c>
      <c r="O55" s="71">
        <f>+O28-'Mar-22'!O25</f>
        <v>31</v>
      </c>
      <c r="P55" s="71">
        <f>+P28-'Mar-22'!P25</f>
        <v>341</v>
      </c>
      <c r="Q55" s="65">
        <f>IFERROR(M55/N55-1,"n/a")</f>
        <v>3.4516129032258061</v>
      </c>
      <c r="R55" s="65">
        <f>IFERROR(M55/O55-1,"n/a")</f>
        <v>16.806451612903224</v>
      </c>
      <c r="S55" s="61">
        <f t="shared" ref="S55:S58" si="56">IFERROR(M55/P55-1,"n/a")</f>
        <v>0.6187683284457477</v>
      </c>
      <c r="T55" s="90">
        <v>140</v>
      </c>
      <c r="U55" s="71">
        <v>40</v>
      </c>
      <c r="V55" s="79">
        <v>360</v>
      </c>
      <c r="AM55"/>
      <c r="AN55"/>
      <c r="AO55"/>
      <c r="AP55"/>
      <c r="AQ55"/>
      <c r="AR55"/>
      <c r="AS55"/>
      <c r="AT55"/>
    </row>
    <row r="56" spans="1:46" s="10" customFormat="1" ht="15.4" customHeight="1">
      <c r="A56"/>
      <c r="B56"/>
      <c r="C56" s="34"/>
      <c r="D56" s="27" t="s">
        <v>11</v>
      </c>
      <c r="E56" s="33"/>
      <c r="F56" s="75">
        <f t="shared" si="52"/>
        <v>136071</v>
      </c>
      <c r="G56" s="75">
        <f t="shared" si="52"/>
        <v>14810</v>
      </c>
      <c r="H56" s="75">
        <f t="shared" si="52"/>
        <v>2381</v>
      </c>
      <c r="I56" s="75">
        <f t="shared" si="52"/>
        <v>16811</v>
      </c>
      <c r="J56" s="65">
        <f t="shared" si="53"/>
        <v>8.1877785280216067</v>
      </c>
      <c r="K56" s="65">
        <f t="shared" si="54"/>
        <v>56.148677026459474</v>
      </c>
      <c r="L56" s="61">
        <f t="shared" si="55"/>
        <v>7.0941645351258114</v>
      </c>
      <c r="M56" s="83">
        <f>+M29-'Mar-22'!M26</f>
        <v>956829</v>
      </c>
      <c r="N56" s="83">
        <f>+N29-'Mar-22'!N26</f>
        <v>162944</v>
      </c>
      <c r="O56" s="83">
        <f>+O29-'Mar-22'!O26</f>
        <v>17801</v>
      </c>
      <c r="P56" s="83">
        <f>+P29-'Mar-22'!P26</f>
        <v>850389</v>
      </c>
      <c r="Q56" s="65">
        <f>IFERROR(M56/N56-1,"n/a")</f>
        <v>4.8721339846818541</v>
      </c>
      <c r="R56" s="65">
        <f>IFERROR(M56/O56-1,"n/a")</f>
        <v>52.751418459637101</v>
      </c>
      <c r="S56" s="61">
        <f t="shared" si="56"/>
        <v>0.12516624744675675</v>
      </c>
      <c r="T56" s="83">
        <v>174336</v>
      </c>
      <c r="U56" s="85">
        <v>21928</v>
      </c>
      <c r="V56" s="79">
        <f>706948+155011</f>
        <v>861959</v>
      </c>
      <c r="AM56"/>
      <c r="AN56"/>
      <c r="AO56"/>
      <c r="AP56"/>
      <c r="AQ56"/>
      <c r="AR56"/>
      <c r="AS56"/>
      <c r="AT56"/>
    </row>
    <row r="57" spans="1:46" s="10" customFormat="1" ht="26.65" customHeight="1" thickBot="1">
      <c r="A57"/>
      <c r="B57"/>
      <c r="C57" s="36" t="s">
        <v>12</v>
      </c>
      <c r="D57" s="37"/>
      <c r="E57" s="38"/>
      <c r="F57" s="76">
        <f t="shared" ref="F57:I58" si="57">F40+F43+F46+F49+F52+F55</f>
        <v>340</v>
      </c>
      <c r="G57" s="76">
        <f t="shared" si="57"/>
        <v>224</v>
      </c>
      <c r="H57" s="76">
        <f t="shared" si="57"/>
        <v>13</v>
      </c>
      <c r="I57" s="76">
        <f t="shared" si="57"/>
        <v>314</v>
      </c>
      <c r="J57" s="67">
        <f t="shared" si="53"/>
        <v>0.51785714285714279</v>
      </c>
      <c r="K57" s="67">
        <f t="shared" si="54"/>
        <v>25.153846153846153</v>
      </c>
      <c r="L57" s="63">
        <f t="shared" si="55"/>
        <v>8.2802547770700619E-2</v>
      </c>
      <c r="M57" s="47">
        <f t="shared" ref="M57:P58" si="58">M40+M43+M46+M49+M52+M55</f>
        <v>2722</v>
      </c>
      <c r="N57" s="47">
        <f t="shared" si="58"/>
        <v>843</v>
      </c>
      <c r="O57" s="47">
        <f t="shared" si="58"/>
        <v>94</v>
      </c>
      <c r="P57" s="47">
        <f t="shared" si="58"/>
        <v>2418</v>
      </c>
      <c r="Q57" s="67">
        <f>IFERROR(M57/N57-1,"n/a")</f>
        <v>2.2289442467378411</v>
      </c>
      <c r="R57" s="67">
        <f>IFERROR(M57/O57-1,"n/a")</f>
        <v>27.957446808510639</v>
      </c>
      <c r="S57" s="63">
        <f t="shared" si="56"/>
        <v>0.12572373862696451</v>
      </c>
      <c r="T57" s="47">
        <f t="shared" ref="T57:V58" si="59">T40+T43+T46+T49+T52+T55</f>
        <v>1682</v>
      </c>
      <c r="U57" s="47">
        <f t="shared" si="59"/>
        <v>679</v>
      </c>
      <c r="V57" s="81">
        <f t="shared" si="59"/>
        <v>3274</v>
      </c>
      <c r="AM57"/>
      <c r="AN57"/>
      <c r="AO57"/>
      <c r="AP57"/>
      <c r="AQ57"/>
      <c r="AR57"/>
      <c r="AS57"/>
      <c r="AT57"/>
    </row>
    <row r="58" spans="1:46" s="10" customFormat="1" ht="26.65" customHeight="1" thickTop="1" thickBot="1">
      <c r="A58"/>
      <c r="B58"/>
      <c r="C58" s="39" t="s">
        <v>13</v>
      </c>
      <c r="D58" s="40"/>
      <c r="E58" s="41"/>
      <c r="F58" s="77">
        <f t="shared" si="57"/>
        <v>779647</v>
      </c>
      <c r="G58" s="77">
        <f t="shared" si="57"/>
        <v>304659</v>
      </c>
      <c r="H58" s="77">
        <f t="shared" si="57"/>
        <v>4854</v>
      </c>
      <c r="I58" s="77">
        <f t="shared" si="57"/>
        <v>745517</v>
      </c>
      <c r="J58" s="68">
        <f t="shared" si="53"/>
        <v>1.5590808083792043</v>
      </c>
      <c r="K58" s="68">
        <f t="shared" si="54"/>
        <v>159.61948908117017</v>
      </c>
      <c r="L58" s="64">
        <f t="shared" si="55"/>
        <v>4.5780310844689032E-2</v>
      </c>
      <c r="M58" s="48">
        <f t="shared" si="58"/>
        <v>5996032</v>
      </c>
      <c r="N58" s="48">
        <f t="shared" si="58"/>
        <v>1237101</v>
      </c>
      <c r="O58" s="48">
        <f t="shared" si="58"/>
        <v>35826</v>
      </c>
      <c r="P58" s="48">
        <f t="shared" si="58"/>
        <v>6739839</v>
      </c>
      <c r="Q58" s="68">
        <f>IFERROR(M58/N58-1,"n/a")</f>
        <v>3.846841122915591</v>
      </c>
      <c r="R58" s="68">
        <f>IFERROR(M58/O58-1,"n/a")</f>
        <v>166.36537710042987</v>
      </c>
      <c r="S58" s="64">
        <f t="shared" si="56"/>
        <v>-0.11035975785178254</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5"/>
  <sheetViews>
    <sheetView showGridLines="0" zoomScale="110" zoomScaleNormal="110" zoomScalePageLayoutView="40" workbookViewId="0"/>
  </sheetViews>
  <sheetFormatPr defaultColWidth="0" defaultRowHeight="26.65" customHeight="1" zeroHeight="1"/>
  <cols>
    <col min="1" max="3" width="2.5703125" customWidth="1"/>
    <col min="4" max="4" width="9.140625" customWidth="1"/>
    <col min="5" max="6" width="15.42578125" customWidth="1"/>
    <col min="7" max="8" width="11.140625" bestFit="1" customWidth="1"/>
    <col min="9" max="9" width="10.5703125" bestFit="1" customWidth="1"/>
    <col min="10" max="10" width="9" bestFit="1" customWidth="1"/>
    <col min="11" max="12" width="9.140625" customWidth="1"/>
    <col min="13" max="13" width="11" bestFit="1" customWidth="1"/>
    <col min="14" max="14" width="10.28515625" bestFit="1" customWidth="1"/>
    <col min="15" max="15" width="12.28515625" bestFit="1" customWidth="1"/>
    <col min="16" max="16" width="11.42578125" customWidth="1"/>
    <col min="17" max="17" width="8.7109375" customWidth="1"/>
    <col min="18" max="18" width="9.140625" bestFit="1" customWidth="1"/>
    <col min="19" max="19" width="8.7109375" customWidth="1"/>
    <col min="20" max="21" width="10.42578125" bestFit="1" customWidth="1"/>
    <col min="22" max="22" width="11.28515625" bestFit="1" customWidth="1"/>
    <col min="23" max="23" width="3.28515625" style="10" customWidth="1"/>
    <col min="24" max="38" width="0" style="10" hidden="1" customWidth="1"/>
    <col min="39" max="46" width="0" hidden="1" customWidth="1"/>
    <col min="47" max="16384" width="9.140625" hidden="1"/>
  </cols>
  <sheetData>
    <row r="1" spans="1:38" ht="15">
      <c r="A1" s="10"/>
      <c r="B1" s="10"/>
      <c r="C1" s="10"/>
      <c r="D1" s="10"/>
      <c r="E1" s="10"/>
      <c r="F1" s="10"/>
      <c r="G1" s="10"/>
      <c r="H1" s="10"/>
      <c r="I1" s="10"/>
      <c r="J1" s="10"/>
      <c r="K1" s="10"/>
      <c r="L1" s="10"/>
      <c r="M1" s="10"/>
      <c r="N1" s="10"/>
      <c r="O1" s="10"/>
      <c r="P1" s="10"/>
      <c r="Q1" s="10"/>
      <c r="R1" s="10"/>
      <c r="S1" s="10"/>
      <c r="T1" s="10"/>
      <c r="U1" s="10"/>
      <c r="V1" s="10"/>
    </row>
    <row r="2" spans="1:38" ht="19.5" thickBot="1">
      <c r="A2" s="10"/>
      <c r="B2" s="9" t="s">
        <v>6</v>
      </c>
      <c r="C2" s="24"/>
      <c r="D2" s="24"/>
      <c r="E2" s="24"/>
      <c r="F2" s="24"/>
      <c r="G2" s="24"/>
      <c r="H2" s="24"/>
      <c r="I2" s="24"/>
      <c r="J2" s="24"/>
      <c r="K2" s="24"/>
      <c r="L2" s="24"/>
      <c r="M2" s="24"/>
      <c r="N2" s="24"/>
      <c r="O2" s="24"/>
      <c r="P2" s="24"/>
      <c r="Q2" s="24"/>
      <c r="R2" s="24"/>
      <c r="S2" s="24"/>
      <c r="T2" s="24"/>
      <c r="U2" s="24"/>
      <c r="V2" s="24"/>
    </row>
    <row r="3" spans="1:38" ht="15">
      <c r="A3" s="10"/>
      <c r="B3" s="11"/>
      <c r="C3" s="25"/>
      <c r="D3" s="25"/>
      <c r="E3" s="25"/>
      <c r="F3" s="25"/>
      <c r="G3" s="25"/>
      <c r="H3" s="25"/>
      <c r="I3" s="25"/>
      <c r="J3" s="25"/>
      <c r="K3" s="25"/>
      <c r="L3" s="25"/>
      <c r="M3" s="25"/>
      <c r="N3" s="25"/>
      <c r="O3" s="25"/>
      <c r="P3" s="25"/>
      <c r="Q3" s="25"/>
      <c r="R3" s="25"/>
      <c r="S3" s="25"/>
      <c r="T3" s="25"/>
      <c r="U3" s="25"/>
      <c r="V3" s="26">
        <v>44880</v>
      </c>
    </row>
    <row r="4" spans="1:38" ht="15.75">
      <c r="A4" s="10"/>
      <c r="B4" s="12" t="s">
        <v>7</v>
      </c>
      <c r="C4" s="27"/>
      <c r="D4" s="25"/>
      <c r="E4" s="59" t="s">
        <v>90</v>
      </c>
      <c r="F4" s="25"/>
      <c r="G4" s="25"/>
      <c r="H4" s="25"/>
      <c r="I4" s="25"/>
      <c r="J4" s="25"/>
      <c r="K4" s="25"/>
      <c r="L4" s="25"/>
      <c r="M4" s="25"/>
      <c r="N4" s="25"/>
      <c r="O4" s="25"/>
      <c r="P4" s="25"/>
      <c r="Q4" s="25"/>
      <c r="R4" s="25"/>
      <c r="S4" s="25"/>
      <c r="T4" s="25"/>
      <c r="U4" s="25"/>
      <c r="V4" s="25"/>
    </row>
    <row r="5" spans="1:38" ht="15">
      <c r="A5" s="10"/>
      <c r="B5" s="11"/>
      <c r="C5" s="25"/>
      <c r="D5" s="25"/>
      <c r="E5" s="25"/>
      <c r="F5" s="25"/>
      <c r="G5" s="25"/>
      <c r="H5" s="25"/>
      <c r="I5" s="25"/>
      <c r="J5" s="25"/>
      <c r="K5" s="25"/>
      <c r="L5" s="25"/>
      <c r="M5" s="25"/>
      <c r="N5" s="25"/>
      <c r="O5" s="25"/>
      <c r="P5" s="25"/>
      <c r="Q5" s="25"/>
      <c r="R5" s="25"/>
      <c r="S5" s="25"/>
      <c r="T5" s="25"/>
      <c r="U5" s="25"/>
      <c r="V5" s="25"/>
    </row>
    <row r="6" spans="1:38" ht="15">
      <c r="A6" s="10"/>
      <c r="B6" s="11"/>
      <c r="C6" s="25"/>
      <c r="D6" s="25"/>
      <c r="E6" s="25"/>
      <c r="F6" s="25"/>
      <c r="G6" s="25"/>
      <c r="H6" s="25"/>
      <c r="I6" s="25"/>
      <c r="J6" s="25"/>
      <c r="K6" s="25"/>
      <c r="L6" s="25"/>
      <c r="M6" s="25"/>
      <c r="N6" s="25"/>
      <c r="O6" s="25"/>
      <c r="P6" s="25"/>
      <c r="Q6" s="25"/>
      <c r="R6" s="25"/>
      <c r="S6" s="25"/>
      <c r="T6" s="25"/>
      <c r="U6" s="25"/>
      <c r="V6" s="25"/>
    </row>
    <row r="7" spans="1:38" ht="15">
      <c r="A7" s="10"/>
      <c r="B7" s="11"/>
      <c r="C7" s="87" t="s">
        <v>62</v>
      </c>
      <c r="D7" s="25"/>
      <c r="E7" s="25"/>
      <c r="F7" s="25"/>
      <c r="G7" s="25"/>
      <c r="H7" s="25"/>
      <c r="I7" s="25"/>
      <c r="J7" s="25"/>
      <c r="K7" s="25"/>
      <c r="L7" s="25"/>
      <c r="M7" s="25"/>
      <c r="N7" s="25"/>
      <c r="O7" s="25"/>
      <c r="P7" s="25"/>
      <c r="Q7" s="25"/>
      <c r="R7" s="25"/>
      <c r="S7" s="25"/>
      <c r="T7" s="25"/>
      <c r="U7" s="25"/>
      <c r="V7" s="25"/>
    </row>
    <row r="8" spans="1:38" ht="15">
      <c r="A8" s="10"/>
      <c r="B8" s="11"/>
      <c r="C8" s="25"/>
      <c r="D8" s="25"/>
      <c r="E8" s="25"/>
      <c r="F8" s="25"/>
      <c r="G8" s="25"/>
      <c r="H8" s="25"/>
      <c r="I8" s="25"/>
      <c r="J8" s="25"/>
      <c r="K8" s="25"/>
      <c r="L8" s="25"/>
      <c r="M8" s="25"/>
      <c r="N8" s="25"/>
      <c r="O8" s="25"/>
      <c r="P8" s="25"/>
      <c r="Q8" s="25"/>
      <c r="R8" s="25"/>
      <c r="S8" s="25"/>
      <c r="T8" s="25"/>
      <c r="U8" s="25"/>
      <c r="V8" s="25"/>
    </row>
    <row r="9" spans="1:38" s="21" customFormat="1" ht="15">
      <c r="A9" s="10"/>
      <c r="B9"/>
      <c r="C9" s="28" t="s">
        <v>7</v>
      </c>
      <c r="D9" s="29"/>
      <c r="E9" s="29"/>
      <c r="F9" s="117" t="s">
        <v>24</v>
      </c>
      <c r="G9" s="117"/>
      <c r="H9" s="117"/>
      <c r="I9" s="117"/>
      <c r="J9" s="117"/>
      <c r="K9" s="117"/>
      <c r="L9" s="118"/>
      <c r="M9" s="119" t="s">
        <v>91</v>
      </c>
      <c r="N9" s="117"/>
      <c r="O9" s="117"/>
      <c r="P9" s="117"/>
      <c r="Q9" s="117"/>
      <c r="R9" s="117"/>
      <c r="S9" s="118"/>
      <c r="T9" s="119" t="s">
        <v>57</v>
      </c>
      <c r="U9" s="117"/>
      <c r="V9" s="120"/>
      <c r="W9" s="10"/>
      <c r="X9" s="20"/>
      <c r="Y9" s="20"/>
      <c r="Z9" s="20"/>
      <c r="AA9" s="20"/>
      <c r="AB9" s="20"/>
      <c r="AC9" s="20"/>
      <c r="AD9" s="20"/>
      <c r="AE9" s="20"/>
      <c r="AF9" s="20"/>
      <c r="AG9" s="20"/>
      <c r="AH9" s="20"/>
      <c r="AI9" s="20"/>
      <c r="AJ9" s="20"/>
      <c r="AK9" s="20"/>
      <c r="AL9" s="20"/>
    </row>
    <row r="10" spans="1:38" ht="15.75">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5">
      <c r="A12" s="10"/>
      <c r="B12" s="13"/>
      <c r="C12" s="32" t="s">
        <v>14</v>
      </c>
      <c r="D12" s="27"/>
      <c r="E12" s="33"/>
      <c r="F12" s="27"/>
      <c r="G12" s="27"/>
      <c r="H12" s="27"/>
      <c r="I12" s="27"/>
      <c r="J12" s="27"/>
      <c r="K12" s="27"/>
      <c r="L12" s="33"/>
      <c r="M12" s="27"/>
      <c r="N12" s="27"/>
      <c r="O12" s="27"/>
      <c r="P12" s="27"/>
      <c r="Q12" s="27"/>
      <c r="R12" s="27"/>
      <c r="S12" s="33"/>
      <c r="T12" s="27"/>
      <c r="U12" s="27"/>
      <c r="V12" s="33"/>
    </row>
    <row r="13" spans="1:38" ht="15">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5">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5">
      <c r="A15" s="10"/>
      <c r="B15" s="13"/>
      <c r="C15" s="32" t="s">
        <v>74</v>
      </c>
      <c r="D15" s="27"/>
      <c r="E15" s="33"/>
      <c r="F15" s="27"/>
      <c r="G15" s="27"/>
      <c r="H15" s="27"/>
      <c r="I15" s="27"/>
      <c r="J15" s="65"/>
      <c r="K15" s="65"/>
      <c r="L15" s="62"/>
      <c r="M15" s="88"/>
      <c r="N15" s="88"/>
      <c r="O15" s="88"/>
      <c r="P15" s="88"/>
      <c r="Q15" s="65"/>
      <c r="R15" s="66"/>
      <c r="S15" s="62"/>
      <c r="T15" s="44"/>
      <c r="U15" s="45"/>
      <c r="V15" s="80"/>
    </row>
    <row r="16" spans="1:38" ht="15">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5">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5">
      <c r="A18" s="10"/>
      <c r="B18" s="13"/>
      <c r="C18" s="32" t="s">
        <v>15</v>
      </c>
      <c r="D18" s="27"/>
      <c r="E18" s="33"/>
      <c r="F18" s="73"/>
      <c r="G18" s="73"/>
      <c r="H18" s="73"/>
      <c r="I18" s="73"/>
      <c r="J18" s="65"/>
      <c r="K18" s="65"/>
      <c r="L18" s="61"/>
      <c r="M18" s="88"/>
      <c r="N18" s="88"/>
      <c r="O18" s="88"/>
      <c r="P18" s="88"/>
      <c r="Q18" s="65"/>
      <c r="R18" s="65"/>
      <c r="S18" s="61"/>
      <c r="T18" s="44"/>
      <c r="U18" s="45"/>
      <c r="V18" s="80"/>
    </row>
    <row r="19" spans="1:38" ht="15">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5">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524520</v>
      </c>
      <c r="N20" s="69">
        <f>G20+'Sep-22'!N20</f>
        <v>3535</v>
      </c>
      <c r="O20" s="69">
        <f>H20+'Sep-22'!O20</f>
        <v>1753</v>
      </c>
      <c r="P20" s="69">
        <f>I20+'Sep-22'!P20</f>
        <v>231541</v>
      </c>
      <c r="Q20" s="65">
        <f t="shared" si="9"/>
        <v>147.37906647807637</v>
      </c>
      <c r="R20" s="65">
        <f t="shared" si="10"/>
        <v>298.21277809469478</v>
      </c>
      <c r="S20" s="61">
        <f t="shared" si="11"/>
        <v>1.2653439347674924</v>
      </c>
      <c r="T20" s="69">
        <v>8611</v>
      </c>
      <c r="U20" s="71">
        <v>1753</v>
      </c>
      <c r="V20" s="79">
        <v>254421</v>
      </c>
    </row>
    <row r="21" spans="1:38" ht="15">
      <c r="A21" s="10"/>
      <c r="B21" s="13"/>
      <c r="C21" s="32" t="s">
        <v>10</v>
      </c>
      <c r="D21" s="27"/>
      <c r="E21" s="35"/>
      <c r="F21" s="73"/>
      <c r="G21" s="73"/>
      <c r="H21" s="73"/>
      <c r="I21" s="73"/>
      <c r="J21" s="65"/>
      <c r="K21" s="65"/>
      <c r="L21" s="61"/>
      <c r="M21" s="88"/>
      <c r="N21" s="88"/>
      <c r="O21" s="88"/>
      <c r="P21" s="88"/>
      <c r="Q21" s="65"/>
      <c r="R21" s="65"/>
      <c r="S21" s="61"/>
      <c r="T21" s="44"/>
      <c r="U21" s="45"/>
      <c r="V21" s="80"/>
    </row>
    <row r="22" spans="1:38" ht="15">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5">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5">
      <c r="A24" s="10"/>
      <c r="B24" s="13"/>
      <c r="C24" s="32" t="s">
        <v>16</v>
      </c>
      <c r="D24" s="27"/>
      <c r="E24" s="33"/>
      <c r="F24" s="73"/>
      <c r="G24" s="73"/>
      <c r="H24" s="73"/>
      <c r="I24" s="73"/>
      <c r="J24" s="65"/>
      <c r="K24" s="65"/>
      <c r="L24" s="61"/>
      <c r="M24" s="88"/>
      <c r="N24" s="88"/>
      <c r="O24" s="88"/>
      <c r="P24" s="88"/>
      <c r="Q24" s="65"/>
      <c r="R24" s="65"/>
      <c r="S24" s="61"/>
      <c r="T24" s="44"/>
      <c r="U24" s="45"/>
      <c r="V24" s="80"/>
    </row>
    <row r="25" spans="1:38" ht="15">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5">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5">
      <c r="A27" s="10"/>
      <c r="B27" s="13"/>
      <c r="C27" s="32" t="s">
        <v>17</v>
      </c>
      <c r="D27" s="27"/>
      <c r="E27" s="33"/>
      <c r="F27" s="73"/>
      <c r="G27" s="73"/>
      <c r="H27" s="73"/>
      <c r="I27" s="73"/>
      <c r="J27" s="65"/>
      <c r="K27" s="65"/>
      <c r="L27" s="61"/>
      <c r="M27" s="88"/>
      <c r="N27" s="88"/>
      <c r="O27" s="88"/>
      <c r="P27" s="88"/>
      <c r="Q27" s="65"/>
      <c r="R27" s="65"/>
      <c r="S27" s="61"/>
      <c r="T27" s="44"/>
      <c r="U27" s="45"/>
      <c r="V27" s="80"/>
    </row>
    <row r="28" spans="1:38" ht="15">
      <c r="B28" s="13"/>
      <c r="C28" s="34"/>
      <c r="D28" s="27" t="s">
        <v>5</v>
      </c>
      <c r="E28" s="33"/>
      <c r="F28" s="75">
        <f>79+6</f>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127</v>
      </c>
      <c r="U28" s="71">
        <v>37</v>
      </c>
      <c r="V28" s="79">
        <f>282+81</f>
        <v>363</v>
      </c>
    </row>
    <row r="29" spans="1:38" ht="15">
      <c r="A29" s="10"/>
      <c r="B29" s="13"/>
      <c r="C29" s="34"/>
      <c r="D29" s="27" t="s">
        <v>11</v>
      </c>
      <c r="E29" s="33"/>
      <c r="F29" s="75">
        <f>111830+10869+16371</f>
        <v>139070</v>
      </c>
      <c r="G29" s="72">
        <v>32614</v>
      </c>
      <c r="H29" s="72">
        <v>5592</v>
      </c>
      <c r="I29" s="72">
        <v>138907</v>
      </c>
      <c r="J29" s="65">
        <f t="shared" si="0"/>
        <v>3.2641197031949467</v>
      </c>
      <c r="K29" s="65">
        <f t="shared" si="21"/>
        <v>23.869456366237483</v>
      </c>
      <c r="L29" s="61">
        <f t="shared" si="12"/>
        <v>1.1734469825135374E-3</v>
      </c>
      <c r="M29" s="69">
        <f>F29+'Sep-22'!M29</f>
        <v>832358</v>
      </c>
      <c r="N29" s="69">
        <f>G29+'Sep-22'!N29</f>
        <v>150273</v>
      </c>
      <c r="O29" s="69">
        <f>H29+'Sep-22'!O29</f>
        <v>16312</v>
      </c>
      <c r="P29" s="69">
        <f>I29+'Sep-22'!P29</f>
        <v>839687</v>
      </c>
      <c r="Q29" s="65">
        <f t="shared" si="22"/>
        <v>4.5389724035588559</v>
      </c>
      <c r="R29" s="65">
        <f t="shared" si="23"/>
        <v>50.027341834232466</v>
      </c>
      <c r="S29" s="61">
        <f t="shared" si="24"/>
        <v>-8.7282523130642886E-3</v>
      </c>
      <c r="T29" s="69">
        <v>165083</v>
      </c>
      <c r="U29" s="71">
        <f>20768+8294</f>
        <v>29062</v>
      </c>
      <c r="V29" s="79">
        <f>659951+168729+38484</f>
        <v>867164</v>
      </c>
    </row>
    <row r="30" spans="1:38" ht="15" customHeight="1" thickBot="1">
      <c r="A30" s="10"/>
      <c r="B30" s="13"/>
      <c r="C30" s="36" t="s">
        <v>12</v>
      </c>
      <c r="D30" s="37"/>
      <c r="E30" s="38"/>
      <c r="F30" s="76">
        <f t="shared" ref="F30:I31" si="25">F13+F16+F19+F22+F25+F28</f>
        <v>412</v>
      </c>
      <c r="G30" s="76">
        <f t="shared" si="25"/>
        <v>249</v>
      </c>
      <c r="H30" s="76">
        <f t="shared" si="25"/>
        <v>20</v>
      </c>
      <c r="I30" s="76">
        <f t="shared" si="25"/>
        <v>393</v>
      </c>
      <c r="J30" s="67">
        <f t="shared" si="0"/>
        <v>0.65461847389558225</v>
      </c>
      <c r="K30" s="67">
        <f t="shared" si="21"/>
        <v>19.600000000000001</v>
      </c>
      <c r="L30" s="63">
        <f t="shared" si="12"/>
        <v>4.8346055979643809E-2</v>
      </c>
      <c r="M30" s="47">
        <f t="shared" ref="M30:P31" si="26">M13+M16+M19+M22+M25+M28</f>
        <v>3014</v>
      </c>
      <c r="N30" s="47">
        <f t="shared" si="26"/>
        <v>631</v>
      </c>
      <c r="O30" s="47">
        <f t="shared" si="26"/>
        <v>646</v>
      </c>
      <c r="P30" s="47">
        <f t="shared" si="26"/>
        <v>2739</v>
      </c>
      <c r="Q30" s="67">
        <f t="shared" si="22"/>
        <v>3.7765451664025358</v>
      </c>
      <c r="R30" s="67">
        <f t="shared" si="23"/>
        <v>3.6656346749226003</v>
      </c>
      <c r="S30" s="63">
        <f t="shared" si="24"/>
        <v>0.10040160642570273</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867362</v>
      </c>
      <c r="G31" s="77">
        <f t="shared" si="25"/>
        <v>369553</v>
      </c>
      <c r="H31" s="77">
        <f t="shared" si="25"/>
        <v>13954</v>
      </c>
      <c r="I31" s="77">
        <f t="shared" si="25"/>
        <v>930242</v>
      </c>
      <c r="J31" s="68">
        <f t="shared" si="0"/>
        <v>1.3470571203589201</v>
      </c>
      <c r="K31" s="68">
        <f t="shared" si="21"/>
        <v>61.158664182313316</v>
      </c>
      <c r="L31" s="64">
        <f t="shared" si="12"/>
        <v>-6.7595313907563792E-2</v>
      </c>
      <c r="M31" s="48">
        <f t="shared" si="26"/>
        <v>6084090</v>
      </c>
      <c r="N31" s="48">
        <f t="shared" si="26"/>
        <v>942545</v>
      </c>
      <c r="O31" s="48">
        <f t="shared" si="26"/>
        <v>1307163</v>
      </c>
      <c r="P31" s="48">
        <f t="shared" si="26"/>
        <v>7784848</v>
      </c>
      <c r="Q31" s="68">
        <f t="shared" si="22"/>
        <v>5.4549597101464649</v>
      </c>
      <c r="R31" s="68">
        <f t="shared" si="23"/>
        <v>3.6544233580662855</v>
      </c>
      <c r="S31" s="64">
        <f t="shared" si="24"/>
        <v>-0.21847028997868678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5">
      <c r="A34" s="10"/>
      <c r="B34" s="11"/>
      <c r="C34" s="87" t="s">
        <v>63</v>
      </c>
      <c r="D34" s="25"/>
      <c r="E34" s="25"/>
      <c r="F34" s="25"/>
      <c r="G34" s="25"/>
      <c r="H34" s="25"/>
      <c r="I34" s="96"/>
      <c r="J34" s="96"/>
      <c r="K34" s="96"/>
      <c r="L34" s="25"/>
      <c r="M34" s="25"/>
      <c r="N34" s="25"/>
      <c r="O34" s="25"/>
      <c r="P34" s="25"/>
      <c r="Q34" s="25"/>
      <c r="R34" s="25"/>
      <c r="S34" s="25"/>
      <c r="T34" s="25"/>
      <c r="U34" s="25"/>
      <c r="V34" s="25"/>
    </row>
    <row r="35" spans="1:22" ht="15">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17" t="str">
        <f>F9</f>
        <v>October</v>
      </c>
      <c r="G36" s="117"/>
      <c r="H36" s="117"/>
      <c r="I36" s="117"/>
      <c r="J36" s="117"/>
      <c r="K36" s="117"/>
      <c r="L36" s="118"/>
      <c r="M36" s="119" t="s">
        <v>92</v>
      </c>
      <c r="N36" s="117"/>
      <c r="O36" s="117"/>
      <c r="P36" s="117"/>
      <c r="Q36" s="117"/>
      <c r="R36" s="117"/>
      <c r="S36" s="118"/>
      <c r="T36" s="119" t="s">
        <v>58</v>
      </c>
      <c r="U36" s="117"/>
      <c r="V36" s="120"/>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523048</v>
      </c>
      <c r="N47" s="83">
        <f>+N20-'Mar-22'!N17</f>
        <v>3535</v>
      </c>
      <c r="O47" s="83">
        <f>+O20-'Mar-22'!O17</f>
        <v>111</v>
      </c>
      <c r="P47" s="83">
        <f>+P20-'Mar-22'!P17</f>
        <v>226403</v>
      </c>
      <c r="Q47" s="65">
        <f>IFERROR(M47/N47-1,"n/a")</f>
        <v>146.96265912305518</v>
      </c>
      <c r="R47" s="65">
        <f>IFERROR(M47/O47-1,"n/a")</f>
        <v>4711.1441441441439</v>
      </c>
      <c r="S47" s="61">
        <f t="shared" si="37"/>
        <v>1.3102520726315463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 customHeight="1">
      <c r="C55" s="34"/>
      <c r="D55" s="27" t="s">
        <v>5</v>
      </c>
      <c r="E55" s="33"/>
      <c r="F55" s="75">
        <f t="shared" ref="F55:I56" si="48">F28</f>
        <v>85</v>
      </c>
      <c r="G55" s="75">
        <f t="shared" si="48"/>
        <v>28</v>
      </c>
      <c r="H55" s="72">
        <f t="shared" si="48"/>
        <v>12</v>
      </c>
      <c r="I55" s="75">
        <f t="shared" si="48"/>
        <v>71</v>
      </c>
      <c r="J55" s="65">
        <f t="shared" ref="J55:J58" si="49">IFERROR(F55/G55-1,"n/a")</f>
        <v>2.0357142857142856</v>
      </c>
      <c r="K55" s="65">
        <f t="shared" ref="K55:K58" si="50">IFERROR(F55/H55-1,"n/a")</f>
        <v>6.083333333333333</v>
      </c>
      <c r="L55" s="61">
        <f t="shared" ref="L55:L58" si="51">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2">IFERROR(M55/P55-1,"n/a")</f>
        <v>0.51234567901234573</v>
      </c>
      <c r="T55" s="90">
        <v>140</v>
      </c>
      <c r="U55" s="71">
        <v>40</v>
      </c>
      <c r="V55" s="79">
        <v>360</v>
      </c>
    </row>
    <row r="56" spans="3:22" ht="15.4" customHeight="1">
      <c r="C56" s="34"/>
      <c r="D56" s="27" t="s">
        <v>11</v>
      </c>
      <c r="E56" s="33"/>
      <c r="F56" s="75">
        <f t="shared" si="48"/>
        <v>139070</v>
      </c>
      <c r="G56" s="75">
        <f t="shared" si="48"/>
        <v>32614</v>
      </c>
      <c r="H56" s="72">
        <f t="shared" si="48"/>
        <v>5592</v>
      </c>
      <c r="I56" s="75">
        <f t="shared" si="48"/>
        <v>138907</v>
      </c>
      <c r="J56" s="65">
        <f t="shared" si="49"/>
        <v>3.2641197031949467</v>
      </c>
      <c r="K56" s="65">
        <f t="shared" si="50"/>
        <v>23.869456366237483</v>
      </c>
      <c r="L56" s="61">
        <f t="shared" si="51"/>
        <v>1.1734469825135374E-3</v>
      </c>
      <c r="M56" s="83">
        <f>+M29-'Mar-22'!M26</f>
        <v>820758</v>
      </c>
      <c r="N56" s="83">
        <f>+N29-'Mar-22'!N26</f>
        <v>148134</v>
      </c>
      <c r="O56" s="83">
        <f>+O29-'Mar-22'!O26</f>
        <v>15420</v>
      </c>
      <c r="P56" s="83">
        <f>+P29-'Mar-22'!P26</f>
        <v>833578</v>
      </c>
      <c r="Q56" s="65">
        <f>IFERROR(M56/N56-1,"n/a")</f>
        <v>4.5406456316578234</v>
      </c>
      <c r="R56" s="65">
        <f>IFERROR(M56/O56-1,"n/a")</f>
        <v>52.226848249027235</v>
      </c>
      <c r="S56" s="61">
        <f t="shared" si="52"/>
        <v>-1.5379484583326386E-2</v>
      </c>
      <c r="T56" s="83">
        <v>174336</v>
      </c>
      <c r="U56" s="85">
        <v>21928</v>
      </c>
      <c r="V56" s="79">
        <f>706948+155011</f>
        <v>861959</v>
      </c>
    </row>
    <row r="57" spans="3:22" ht="26.65" customHeight="1" thickBot="1">
      <c r="C57" s="36" t="s">
        <v>12</v>
      </c>
      <c r="D57" s="37"/>
      <c r="E57" s="38"/>
      <c r="F57" s="76">
        <f t="shared" ref="F57:I58" si="53">F40+F43+F46+F49+F52+F55</f>
        <v>412</v>
      </c>
      <c r="G57" s="76">
        <f t="shared" si="53"/>
        <v>249</v>
      </c>
      <c r="H57" s="76">
        <f t="shared" si="53"/>
        <v>20</v>
      </c>
      <c r="I57" s="76">
        <f t="shared" si="53"/>
        <v>393</v>
      </c>
      <c r="J57" s="67">
        <f t="shared" si="49"/>
        <v>0.65461847389558225</v>
      </c>
      <c r="K57" s="67">
        <f t="shared" si="50"/>
        <v>19.600000000000001</v>
      </c>
      <c r="L57" s="63">
        <f t="shared" si="51"/>
        <v>4.8346055979643809E-2</v>
      </c>
      <c r="M57" s="47">
        <f t="shared" ref="M57:P58" si="54">M40+M43+M46+M49+M52+M55</f>
        <v>2382</v>
      </c>
      <c r="N57" s="47">
        <f t="shared" si="54"/>
        <v>619</v>
      </c>
      <c r="O57" s="47">
        <f t="shared" si="54"/>
        <v>81</v>
      </c>
      <c r="P57" s="47">
        <f t="shared" si="54"/>
        <v>2104</v>
      </c>
      <c r="Q57" s="67">
        <f>IFERROR(M57/N57-1,"n/a")</f>
        <v>2.8481421647819065</v>
      </c>
      <c r="R57" s="67">
        <f>IFERROR(M57/O57-1,"n/a")</f>
        <v>28.407407407407408</v>
      </c>
      <c r="S57" s="63">
        <f t="shared" si="52"/>
        <v>0.13212927756653992</v>
      </c>
      <c r="T57" s="47">
        <f t="shared" ref="T57:V58" si="55">T40+T43+T46+T49+T52+T55</f>
        <v>1682</v>
      </c>
      <c r="U57" s="47">
        <f t="shared" si="55"/>
        <v>679</v>
      </c>
      <c r="V57" s="81">
        <f t="shared" si="55"/>
        <v>3274</v>
      </c>
    </row>
    <row r="58" spans="3:22" ht="26.65" customHeight="1" thickTop="1" thickBot="1">
      <c r="C58" s="39" t="s">
        <v>13</v>
      </c>
      <c r="D58" s="40"/>
      <c r="E58" s="41"/>
      <c r="F58" s="77">
        <f t="shared" si="53"/>
        <v>867362</v>
      </c>
      <c r="G58" s="77">
        <f t="shared" si="53"/>
        <v>369553</v>
      </c>
      <c r="H58" s="77">
        <f t="shared" si="53"/>
        <v>13954</v>
      </c>
      <c r="I58" s="77">
        <f t="shared" si="53"/>
        <v>930242</v>
      </c>
      <c r="J58" s="68">
        <f t="shared" si="49"/>
        <v>1.3470571203589201</v>
      </c>
      <c r="K58" s="68">
        <f t="shared" si="50"/>
        <v>61.158664182313316</v>
      </c>
      <c r="L58" s="64">
        <f t="shared" si="51"/>
        <v>-6.7595313907563792E-2</v>
      </c>
      <c r="M58" s="48">
        <f t="shared" si="54"/>
        <v>5216385</v>
      </c>
      <c r="N58" s="48">
        <f t="shared" si="54"/>
        <v>932442</v>
      </c>
      <c r="O58" s="48">
        <f t="shared" si="54"/>
        <v>30972</v>
      </c>
      <c r="P58" s="48">
        <f t="shared" si="54"/>
        <v>5994322</v>
      </c>
      <c r="Q58" s="68">
        <f>IFERROR(M58/N58-1,"n/a")</f>
        <v>4.59432651038885</v>
      </c>
      <c r="R58" s="68">
        <f>IFERROR(M58/O58-1,"n/a")</f>
        <v>167.42260751646648</v>
      </c>
      <c r="S58" s="64">
        <f t="shared" si="52"/>
        <v>-0.12977898084220363</v>
      </c>
      <c r="T58" s="48">
        <f t="shared" si="55"/>
        <v>2411641</v>
      </c>
      <c r="U58" s="48">
        <f t="shared" si="55"/>
        <v>1324261</v>
      </c>
      <c r="V58" s="82">
        <f t="shared" si="55"/>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4" ma:contentTypeDescription="Create a new document." ma:contentTypeScope="" ma:versionID="a230934f5435f0d87a10abf6aa2ba74a">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0dcc42fe56d6d381dd4f28950fadcfe"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11F4E00A-09E2-4231-A7AD-C1FCA4BB58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schemas.microsoft.com/office/infopath/2007/PartnerControls"/>
    <ds:schemaRef ds:uri="8cd7474e-1d48-42f1-a929-9fa835c241d5"/>
    <ds:schemaRef ds:uri="http://purl.org/dc/dcmitype/"/>
    <ds:schemaRef ds:uri="http://purl.org/dc/term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50acc271-0769-44fa-a07c-5c2dfce6e46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vt:i4>
      </vt:variant>
    </vt:vector>
  </HeadingPairs>
  <TitlesOfParts>
    <vt:vector size="25" baseType="lpstr">
      <vt:lpstr> </vt:lpstr>
      <vt:lpstr>Disclaimer</vt:lpstr>
      <vt:lpstr>Notes</vt:lpstr>
      <vt:lpstr>Occupancy_2022</vt:lpstr>
      <vt:lpstr>Traffic&gt;</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Hewlett-Packard Company</cp:lastModifiedBy>
  <cp:lastPrinted>2022-08-04T14:43:41Z</cp:lastPrinted>
  <dcterms:created xsi:type="dcterms:W3CDTF">2021-12-10T09:13:50Z</dcterms:created>
  <dcterms:modified xsi:type="dcterms:W3CDTF">2023-02-15T13:27:24Z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