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gyholding.sharepoint.com/sites/Finance/Shared Documents/General/2022/KPI/11-November/"/>
    </mc:Choice>
  </mc:AlternateContent>
  <xr:revisionPtr revIDLastSave="256" documentId="8_{20DF0330-ADAB-4D38-874D-40FE56699DF6}" xr6:coauthVersionLast="47" xr6:coauthVersionMax="47" xr10:uidLastSave="{2AE377B3-3A5A-46A4-8A83-1FB9341B9A2C}"/>
  <bookViews>
    <workbookView xWindow="-108" yWindow="-108" windowWidth="23256" windowHeight="12696" activeTab="1" xr2:uid="{00000000-000D-0000-FFFF-FFFF00000000}"/>
  </bookViews>
  <sheets>
    <sheet name=" " sheetId="3" r:id="rId1"/>
    <sheet name="Disclaimer" sheetId="13" r:id="rId2"/>
    <sheet name="Notes" sheetId="11" r:id="rId3"/>
    <sheet name="Occupancy_2022" sheetId="24" r:id="rId4"/>
    <sheet name="Traffic&gt;" sheetId="25" r:id="rId5"/>
    <sheet name="Nov-22" sheetId="28" r:id="rId6"/>
    <sheet name="Oct-22" sheetId="27" r:id="rId7"/>
    <sheet name="Sep-22" sheetId="26" r:id="rId8"/>
    <sheet name="Aug-22" sheetId="22" r:id="rId9"/>
    <sheet name="Jul-22" sheetId="21" r:id="rId10"/>
    <sheet name="Jun-22" sheetId="20" r:id="rId11"/>
    <sheet name="May-22" sheetId="19" r:id="rId12"/>
    <sheet name="Apr-22" sheetId="18" r:id="rId13"/>
    <sheet name="Mar-22" sheetId="17" r:id="rId14"/>
    <sheet name="Feb-22" sheetId="16" r:id="rId15"/>
    <sheet name="Jan-22" sheetId="15" r:id="rId16"/>
    <sheet name="Dec-21" sheetId="14" r:id="rId17"/>
    <sheet name="Nov-21" sheetId="10" r:id="rId18"/>
    <sheet name="Oct-21" sheetId="9" r:id="rId19"/>
    <sheet name="Sept-21" sheetId="1" r:id="rId20"/>
  </sheets>
  <externalReferences>
    <externalReference r:id="rId21"/>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2" hidden="1">'Apr-22'!$X:$XFD</definedName>
    <definedName name="Z_5F6D01E3_9E6F_4D7F_980F_63899AF95899_.wvu.Cols" localSheetId="8" hidden="1">'Aug-22'!$X:$XFD</definedName>
    <definedName name="Z_5F6D01E3_9E6F_4D7F_980F_63899AF95899_.wvu.Cols" localSheetId="16" hidden="1">'Dec-21'!$S:$XFD</definedName>
    <definedName name="Z_5F6D01E3_9E6F_4D7F_980F_63899AF95899_.wvu.Cols" localSheetId="1" hidden="1">Disclaimer!$X:$XFD</definedName>
    <definedName name="Z_5F6D01E3_9E6F_4D7F_980F_63899AF95899_.wvu.Cols" localSheetId="14" hidden="1">'Feb-22'!$X:$XFD</definedName>
    <definedName name="Z_5F6D01E3_9E6F_4D7F_980F_63899AF95899_.wvu.Cols" localSheetId="15" hidden="1">'Jan-22'!$X:$XFD</definedName>
    <definedName name="Z_5F6D01E3_9E6F_4D7F_980F_63899AF95899_.wvu.Cols" localSheetId="9" hidden="1">'Jul-22'!$X:$XFD</definedName>
    <definedName name="Z_5F6D01E3_9E6F_4D7F_980F_63899AF95899_.wvu.Cols" localSheetId="10" hidden="1">'Jun-22'!$X:$XFD</definedName>
    <definedName name="Z_5F6D01E3_9E6F_4D7F_980F_63899AF95899_.wvu.Cols" localSheetId="13" hidden="1">'Mar-22'!$X:$XFD</definedName>
    <definedName name="Z_5F6D01E3_9E6F_4D7F_980F_63899AF95899_.wvu.Cols" localSheetId="11" hidden="1">'May-22'!$X:$XFD</definedName>
    <definedName name="Z_5F6D01E3_9E6F_4D7F_980F_63899AF95899_.wvu.Cols" localSheetId="2" hidden="1">Notes!$S:$XFD</definedName>
    <definedName name="Z_5F6D01E3_9E6F_4D7F_980F_63899AF95899_.wvu.Cols" localSheetId="17" hidden="1">'Nov-21'!$S:$XFD</definedName>
    <definedName name="Z_5F6D01E3_9E6F_4D7F_980F_63899AF95899_.wvu.Cols" localSheetId="5" hidden="1">'Nov-22'!$X:$XFD</definedName>
    <definedName name="Z_5F6D01E3_9E6F_4D7F_980F_63899AF95899_.wvu.Cols" localSheetId="3" hidden="1">Occupancy_2022!$U:$XFD</definedName>
    <definedName name="Z_5F6D01E3_9E6F_4D7F_980F_63899AF95899_.wvu.Cols" localSheetId="18" hidden="1">'Oct-21'!$S:$XFD</definedName>
    <definedName name="Z_5F6D01E3_9E6F_4D7F_980F_63899AF95899_.wvu.Cols" localSheetId="6" hidden="1">'Oct-22'!$X:$XFD</definedName>
    <definedName name="Z_5F6D01E3_9E6F_4D7F_980F_63899AF95899_.wvu.Cols" localSheetId="7" hidden="1">'Sep-22'!$X:$XFD</definedName>
    <definedName name="Z_5F6D01E3_9E6F_4D7F_980F_63899AF95899_.wvu.Cols" localSheetId="19"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2" hidden="1">'Apr-22'!$49:$1048576,'Apr-22'!$30:$48</definedName>
    <definedName name="Z_5F6D01E3_9E6F_4D7F_980F_63899AF95899_.wvu.Rows" localSheetId="16" hidden="1">'Dec-21'!$49:$1048576,'Dec-21'!$30:$48</definedName>
    <definedName name="Z_5F6D01E3_9E6F_4D7F_980F_63899AF95899_.wvu.Rows" localSheetId="1" hidden="1">Disclaimer!$45:$1048576,Disclaimer!$30:$44</definedName>
    <definedName name="Z_5F6D01E3_9E6F_4D7F_980F_63899AF95899_.wvu.Rows" localSheetId="14" hidden="1">'Feb-22'!$49:$1048576,'Feb-22'!$30:$48</definedName>
    <definedName name="Z_5F6D01E3_9E6F_4D7F_980F_63899AF95899_.wvu.Rows" localSheetId="15" hidden="1">'Jan-22'!$49:$1048576,'Jan-22'!$30:$48</definedName>
    <definedName name="Z_5F6D01E3_9E6F_4D7F_980F_63899AF95899_.wvu.Rows" localSheetId="10" hidden="1">'Jun-22'!$49:$1048576,'Jun-22'!$30:$48</definedName>
    <definedName name="Z_5F6D01E3_9E6F_4D7F_980F_63899AF95899_.wvu.Rows" localSheetId="13" hidden="1">'Mar-22'!$49:$1048576,'Mar-22'!$30:$48</definedName>
    <definedName name="Z_5F6D01E3_9E6F_4D7F_980F_63899AF95899_.wvu.Rows" localSheetId="11" hidden="1">'May-22'!$49:$1048576,'May-22'!$30:$48</definedName>
    <definedName name="Z_5F6D01E3_9E6F_4D7F_980F_63899AF95899_.wvu.Rows" localSheetId="2" hidden="1">Notes!$45:$1048576,Notes!$27:$44</definedName>
    <definedName name="Z_5F6D01E3_9E6F_4D7F_980F_63899AF95899_.wvu.Rows" localSheetId="17" hidden="1">'Nov-21'!$49:$1048576,'Nov-21'!$30:$48</definedName>
    <definedName name="Z_5F6D01E3_9E6F_4D7F_980F_63899AF95899_.wvu.Rows" localSheetId="18" hidden="1">'Oct-21'!$49:$1048576,'Oct-21'!$30:$48</definedName>
    <definedName name="Z_5F6D01E3_9E6F_4D7F_980F_63899AF95899_.wvu.Rows" localSheetId="19"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7" l="1"/>
  <c r="G30" i="28"/>
  <c r="F20" i="28" l="1"/>
  <c r="F29"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V56" i="28" l="1"/>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23" i="28"/>
  <c r="M50" i="28" s="1"/>
  <c r="S50" i="28" s="1"/>
  <c r="M26" i="28"/>
  <c r="Q26" i="28" s="1"/>
  <c r="K30" i="27"/>
  <c r="K41" i="27"/>
  <c r="O17" i="28"/>
  <c r="O44" i="28" s="1"/>
  <c r="R44" i="28" s="1"/>
  <c r="O20" i="28"/>
  <c r="O47" i="28" s="1"/>
  <c r="O23" i="28"/>
  <c r="O50" i="28" s="1"/>
  <c r="O26" i="28"/>
  <c r="O53" i="28" s="1"/>
  <c r="M22" i="28"/>
  <c r="S22" i="28" s="1"/>
  <c r="M25" i="28"/>
  <c r="S25" i="28" s="1"/>
  <c r="M28" i="28"/>
  <c r="S28" i="28" s="1"/>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R55" i="27" l="1"/>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Q49" i="28" l="1"/>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L58" i="26" l="1"/>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S17" i="20"/>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M13" i="21" l="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R20" i="28" l="1"/>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R47" i="28" l="1"/>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31" i="28" s="1"/>
  <c r="Q29" i="28"/>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29" i="28" l="1"/>
  <c r="M56" i="28"/>
  <c r="M58" i="28" s="1"/>
  <c r="Q46" i="28"/>
  <c r="R46" i="28"/>
  <c r="S46" i="28"/>
  <c r="S29" i="28"/>
  <c r="S31" i="28"/>
  <c r="R31" i="28"/>
  <c r="Q31" i="28"/>
  <c r="R57" i="28"/>
  <c r="S57" i="28"/>
  <c r="Q57" i="28"/>
  <c r="Q56" i="28"/>
  <c r="R56" i="28"/>
  <c r="S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S58" i="28" l="1"/>
  <c r="Q58" i="28"/>
  <c r="R58" i="28"/>
  <c r="S58" i="27"/>
  <c r="R58" i="27"/>
  <c r="Q58" i="27"/>
  <c r="J27" i="9"/>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<sst xmlns="http://schemas.openxmlformats.org/spreadsheetml/2006/main" count="723" uniqueCount="97">
  <si>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</si>
  <si>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</si>
  <si>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</si>
  <si>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</si>
  <si>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</si>
  <si>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</si>
  <si>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</si>
  <si>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</si>
  <si>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</si>
  <si>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</si>
  <si>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</si>
  <si>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</si>
  <si>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</si>
  <si>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</si>
  <si>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</si>
  <si>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</si>
  <si>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</si>
  <si>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</si>
  <si>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</si>
  <si>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</si>
  <si>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</si>
  <si>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</si>
  <si>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</si>
  <si>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</si>
  <si>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</si>
  <si>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</si>
  <si>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</si>
  <si>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</si>
  <si>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</si>
  <si>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</si>
  <si>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</si>
  <si>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</si>
  <si>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</si>
  <si>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</si>
  <si>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</si>
  <si>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</si>
  <si>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</si>
  <si>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</si>
  <si>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</si>
  <si>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</si>
  <si>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</si>
  <si>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</si>
  <si>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</si>
  <si>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</si>
  <si>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</si>
  <si>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</si>
  <si>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</si>
  <si>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</si>
  <si>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</si>
  <si>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</si>
  <si>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</si>
  <si>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</si>
  <si>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</si>
  <si>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</si>
  <si>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</si>
  <si>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</si>
  <si>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</si>
  <si>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</si>
  <si>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</si>
  <si>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</si>
  <si>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</si>
  <si>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</si>
  <si>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</si>
  <si>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</si>
  <si>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</si>
  <si>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</si>
  <si>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</si>
  <si>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</si>
  <si>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</si>
  <si>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</si>
  <si>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</si>
  <si>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</si>
  <si>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</si>
  <si>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</si>
  <si>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</si>
  <si>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</si>
  <si>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</si>
  <si>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</si>
  <si>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</si>
  <si>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</si>
  <si>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</si>
  <si>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</si>
  <si>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</si>
  <si>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</si>
  <si>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</si>
  <si>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</si>
  <si>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Note: Occupancy ratios will lag one month due to availability of data</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</si>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</sst>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0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29" fillId="5" borderId="7" xfId="3" applyFont="1" applyBorder="1"/>
    <xf numFmtId="0" fontId="31" fillId="0" borderId="0" xfId="0" applyFont="1"/>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0" fillId="0" borderId="0" xfId="0" applyAlignment="1">
      <alignment horizontal="right"/>
    </xf>
    <xf numFmtId="168" fontId="17" fillId="3" borderId="0" xfId="2" applyNumberFormat="1" applyFont="1" applyFill="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9">
    <cellStyle name="Comma" xfId="7" builtinId="3"/>
    <cellStyle name="Header1" xfId="4" xr:uid="{00000000-0005-0000-0000-000001000000}"/>
    <cellStyle name="Line_ClosingBal" xfId="6" xr:uid="{00000000-0005-0000-0000-000002000000}"/>
    <cellStyle name="Normal" xfId="0" builtinId="0"/>
    <cellStyle name="Normal 2" xfId="2" xr:uid="{00000000-0005-0000-0000-000004000000}"/>
    <cellStyle name="Percent" xfId="8" builtinId="5"/>
    <cellStyle name="Sheet_Header" xfId="1" xr:uid="{00000000-0005-0000-0000-000006000000}"/>
    <cellStyle name="Sheet_Header2" xfId="3" xr:uid="{00000000-0005-0000-0000-000007000000}"/>
    <cellStyle name="Unit" xfId="5" xr:uid="{00000000-0005-0000-0000-000008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16</xdr:row>
      <xdr:rowOff>164779</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Port of Adria.</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744071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44910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abSelected="1"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7523-3128-438B-A8AD-2C43A61C26B4}">
  <sheetPr>
    <tabColor theme="6" tint="-0.499984740745262"/>
    <pageSetUpPr fitToPage="1"/>
  </sheetPr>
  <dimension ref="A1:AT56"/>
  <sheetViews>
    <sheetView showGridLines="0" zoomScale="90" zoomScaleNormal="90" zoomScalePageLayoutView="40" workbookViewId="0">
      <selection activeCell="P9" sqref="P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10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94"/>
      <c r="G1" s="94"/>
      <c r="H1" s="94"/>
      <c r="I1" s="94"/>
      <c r="J1" s="94"/>
      <c r="K1" s="94"/>
      <c r="L1" s="94"/>
      <c r="M1" s="94"/>
      <c r="N1" s="94"/>
      <c r="O1" s="94"/>
      <c r="P1" s="94"/>
      <c r="Q1" s="94"/>
      <c r="R1" s="10"/>
      <c r="S1" s="10"/>
    </row>
    <row r="2" spans="1:35" ht="18.600000000000001" thickBot="1">
      <c r="A2" s="10"/>
      <c r="B2" s="9" t="s">
        <v>87</v>
      </c>
      <c r="C2" s="24"/>
      <c r="D2" s="24"/>
      <c r="E2" s="24"/>
      <c r="F2" s="95"/>
      <c r="G2" s="95"/>
      <c r="H2" s="95"/>
      <c r="I2" s="95"/>
      <c r="J2" s="95"/>
      <c r="K2" s="95"/>
      <c r="L2" s="95"/>
      <c r="M2" s="95"/>
      <c r="N2" s="95"/>
      <c r="O2" s="95"/>
      <c r="P2" s="95"/>
      <c r="Q2" s="95"/>
      <c r="R2" s="24"/>
      <c r="S2" s="24"/>
    </row>
    <row r="3" spans="1:35" ht="14.4">
      <c r="A3" s="10"/>
      <c r="B3" s="11"/>
      <c r="C3" s="25"/>
      <c r="D3" s="25"/>
      <c r="E3" s="25"/>
      <c r="F3" s="96"/>
      <c r="G3" s="96"/>
      <c r="H3" s="96"/>
      <c r="I3" s="96"/>
      <c r="J3" s="96"/>
      <c r="K3" s="96"/>
      <c r="L3" s="96"/>
      <c r="M3" s="96"/>
      <c r="N3" s="96"/>
      <c r="O3" s="96"/>
      <c r="P3" s="96"/>
      <c r="Q3" s="96"/>
      <c r="R3" s="25"/>
      <c r="S3" s="26">
        <f>+' '!I17</f>
        <v>44910</v>
      </c>
    </row>
    <row r="4" spans="1:35" ht="16.2">
      <c r="A4" s="10"/>
      <c r="B4" s="12" t="s">
        <v>7</v>
      </c>
      <c r="C4" s="27"/>
      <c r="D4" s="25"/>
      <c r="E4" s="59" t="s">
        <v>88</v>
      </c>
      <c r="F4" s="96"/>
      <c r="G4" s="96"/>
      <c r="H4" s="96"/>
      <c r="I4" s="96"/>
      <c r="J4" s="96"/>
      <c r="K4" s="96"/>
      <c r="L4" s="96"/>
      <c r="M4" s="96"/>
      <c r="N4" s="96"/>
      <c r="O4" s="96"/>
      <c r="P4" s="96"/>
      <c r="Q4" s="96"/>
      <c r="R4" s="25"/>
      <c r="S4" s="25"/>
    </row>
    <row r="5" spans="1:35" ht="14.4">
      <c r="A5" s="10"/>
      <c r="B5" s="11"/>
      <c r="C5" s="25"/>
      <c r="D5" s="25"/>
      <c r="E5" s="25"/>
      <c r="F5" s="96"/>
      <c r="G5" s="96"/>
      <c r="H5" s="96"/>
      <c r="I5" s="96"/>
      <c r="J5" s="96"/>
      <c r="K5" s="96"/>
      <c r="L5" s="96"/>
      <c r="M5" s="96"/>
      <c r="N5" s="96"/>
      <c r="O5" s="96"/>
      <c r="P5" s="96"/>
      <c r="Q5" s="96"/>
      <c r="R5" s="25"/>
      <c r="S5" s="25"/>
    </row>
    <row r="6" spans="1:35" ht="14.4">
      <c r="A6" s="10"/>
      <c r="B6" s="87" t="s">
        <v>83</v>
      </c>
      <c r="D6" s="25"/>
      <c r="E6" s="25"/>
      <c r="F6" s="96"/>
      <c r="G6" s="96"/>
      <c r="H6" s="96"/>
      <c r="I6" s="96"/>
      <c r="J6" s="96"/>
      <c r="K6" s="96"/>
      <c r="L6" s="96"/>
      <c r="M6" s="96"/>
      <c r="N6" s="96"/>
      <c r="O6" s="96"/>
      <c r="P6" s="96"/>
      <c r="Q6" s="96"/>
      <c r="R6" s="25"/>
      <c r="S6" s="25"/>
    </row>
    <row r="7" spans="1:35" ht="14.4">
      <c r="A7" s="10"/>
      <c r="B7" s="11"/>
      <c r="C7" s="25"/>
      <c r="D7" s="25"/>
      <c r="E7" s="25"/>
      <c r="F7" s="96"/>
      <c r="G7" s="96"/>
      <c r="H7" s="96"/>
      <c r="I7" s="96"/>
      <c r="J7" s="96"/>
      <c r="K7" s="96"/>
      <c r="L7" s="96"/>
      <c r="M7" s="96"/>
      <c r="N7" s="96"/>
      <c r="O7" s="96"/>
      <c r="P7" s="96"/>
      <c r="Q7" s="96"/>
      <c r="R7" s="25"/>
      <c r="S7" s="25"/>
    </row>
    <row r="8" spans="1:35" s="21" customFormat="1" ht="14.4">
      <c r="A8" s="10"/>
      <c r="B8"/>
      <c r="C8" s="28" t="s">
        <v>7</v>
      </c>
      <c r="D8" s="29"/>
      <c r="E8" s="29"/>
      <c r="F8" s="97" t="s">
        <v>75</v>
      </c>
      <c r="G8" s="97" t="s">
        <v>76</v>
      </c>
      <c r="H8" s="97" t="s">
        <v>77</v>
      </c>
      <c r="I8" s="97" t="s">
        <v>45</v>
      </c>
      <c r="J8" s="97" t="s">
        <v>47</v>
      </c>
      <c r="K8" s="97" t="s">
        <v>51</v>
      </c>
      <c r="L8" s="97" t="s">
        <v>55</v>
      </c>
      <c r="M8" s="97" t="s">
        <v>78</v>
      </c>
      <c r="N8" s="97" t="s">
        <v>79</v>
      </c>
      <c r="O8" s="97" t="s">
        <v>80</v>
      </c>
      <c r="P8" s="97" t="s">
        <v>81</v>
      </c>
      <c r="Q8" s="97" t="s">
        <v>82</v>
      </c>
      <c r="R8"/>
      <c r="S8"/>
      <c r="T8" s="10"/>
      <c r="U8" s="20"/>
      <c r="V8" s="20"/>
      <c r="W8" s="20"/>
      <c r="X8" s="20"/>
      <c r="Y8" s="20"/>
      <c r="Z8" s="20"/>
      <c r="AA8" s="20"/>
      <c r="AB8" s="20"/>
      <c r="AC8" s="20"/>
      <c r="AD8" s="20"/>
      <c r="AE8" s="20"/>
      <c r="AF8" s="20"/>
      <c r="AG8" s="20"/>
      <c r="AH8" s="20"/>
      <c r="AI8" s="20"/>
    </row>
    <row r="9" spans="1:35" ht="20.25" customHeight="1">
      <c r="A9" s="10"/>
      <c r="B9" s="19"/>
      <c r="C9" s="92" t="s">
        <v>84</v>
      </c>
      <c r="D9" s="31"/>
      <c r="E9" s="31"/>
      <c r="F9" s="98">
        <v>0.41823087434338119</v>
      </c>
      <c r="G9" s="99">
        <v>0.47083755198064259</v>
      </c>
      <c r="H9" s="99">
        <v>0.6233573525072601</v>
      </c>
      <c r="I9" s="99">
        <v>0.66777314044950997</v>
      </c>
      <c r="J9" s="99">
        <v>0.65681540466649779</v>
      </c>
      <c r="K9" s="99">
        <v>0.78080882831305709</v>
      </c>
      <c r="L9" s="99">
        <v>0.89027550740676809</v>
      </c>
      <c r="M9" s="99">
        <v>0.96622440101119256</v>
      </c>
      <c r="N9" s="99">
        <v>0.88649846333967508</v>
      </c>
      <c r="O9" s="99">
        <v>0.87554585152838427</v>
      </c>
      <c r="P9" s="99"/>
      <c r="Q9" s="99"/>
    </row>
    <row r="10" spans="1:35" ht="20.25" customHeight="1">
      <c r="A10" s="10"/>
      <c r="B10" s="10"/>
      <c r="C10" s="10"/>
      <c r="D10" s="10"/>
      <c r="E10" s="10"/>
      <c r="F10" s="94"/>
      <c r="G10" s="94"/>
      <c r="H10" s="94"/>
      <c r="I10" s="94"/>
      <c r="J10" s="94"/>
      <c r="K10" s="94"/>
      <c r="L10" s="94"/>
      <c r="M10" s="94"/>
      <c r="N10" s="94"/>
      <c r="O10" s="94"/>
      <c r="P10" s="94"/>
      <c r="Q10" s="94"/>
      <c r="R10" s="10"/>
    </row>
    <row r="11" spans="1:35" ht="26.7" customHeight="1">
      <c r="C11" s="93" t="s">
        <v>86</v>
      </c>
    </row>
    <row r="12" spans="1:35" ht="26.7" hidden="1" customHeight="1"/>
    <row r="13" spans="1:35" ht="26.4" hidden="1" customHeight="1"/>
    <row r="14" spans="1:35" ht="26.4" hidden="1" customHeight="1"/>
    <row r="15" spans="1:35" ht="26.7"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11.4" hidden="1" customHeight="1"/>
    <row r="38" ht="9" hidden="1" customHeight="1"/>
    <row r="39" ht="17.399999999999999" hidden="1" customHeight="1"/>
    <row r="40" ht="26.7"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7D82-2DBC-44A6-8BBA-D36845B79124}">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87EB-41C8-4541-84CA-2E9F17F996F6}">
  <sheetPr>
    <pageSetUpPr fitToPage="1"/>
  </sheetPr>
  <dimension ref="A1:AT68"/>
  <sheetViews>
    <sheetView showGridLines="0" zoomScale="110" zoomScaleNormal="110" zoomScalePageLayoutView="40" workbookViewId="0">
      <selection activeCell="M28" sqref="M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44910</v>
      </c>
    </row>
    <row r="4" spans="1:38" ht="16.2">
      <c r="A4" s="10"/>
      <c r="B4" s="12" t="s">
        <v>7</v>
      </c>
      <c r="C4" s="27"/>
      <c r="D4" s="25"/>
      <c r="E4" s="59" t="s">
        <v>94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27</v>
      </c>
      <c r="G9" s="102"/>
      <c r="H9" s="102"/>
      <c r="I9" s="102"/>
      <c r="J9" s="102"/>
      <c r="K9" s="102"/>
      <c r="L9" s="103"/>
      <c r="M9" s="104" t="s">
        <v>95</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4.4">
      <c r="A14" s="10"/>
      <c r="B14" s="13"/>
      <c r="C14" s="34"/>
      <c r="D14" s="27" t="s">
        <v>11</v>
      </c>
      <c r="E14" s="33"/>
      <c r="F14" s="74">
        <v>62272</v>
      </c>
      <c r="G14" s="72">
        <v>23175</v>
      </c>
      <c r="H14" s="72">
        <v>0</v>
      </c>
      <c r="I14" s="72">
        <v>89764</v>
      </c>
      <c r="J14" s="65">
        <f t="shared" si="0"/>
        <v>1.6870334412081984</v>
      </c>
      <c r="K14" s="65" t="str">
        <f t="shared" ref="K14" si="2">IFERROR(F14/H14-1,"n/a")</f>
        <v>n/a</v>
      </c>
      <c r="L14" s="61">
        <f t="shared" si="1"/>
        <v>-0.30626977407423916</v>
      </c>
      <c r="M14" s="69">
        <f>F14+'Oct-22'!M14</f>
        <v>268964</v>
      </c>
      <c r="N14" s="69">
        <f>G14+'Oct-22'!N14</f>
        <v>28096</v>
      </c>
      <c r="O14" s="69">
        <f>H14+'Oct-22'!O14</f>
        <v>258885</v>
      </c>
      <c r="P14" s="69">
        <f>I14+'Oct-22'!P14</f>
        <v>613093</v>
      </c>
      <c r="Q14" s="65">
        <f>IFERROR(M14/N14-1,"n/a")</f>
        <v>8.5730353075170846</v>
      </c>
      <c r="R14" s="65">
        <f>IFERROR(M14/O14-1,"n/a")</f>
        <v>3.8932344477277558E-2</v>
      </c>
      <c r="S14" s="61">
        <f>IFERROR(M14/P14-1,"n/a")</f>
        <v>-0.5612998354246419</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4.4">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4.4">
      <c r="A18" s="10"/>
      <c r="B18" s="13"/>
      <c r="C18" s="32" t="s">
        <v>15</v>
      </c>
      <c r="D18" s="27"/>
      <c r="E18" s="33"/>
      <c r="F18" s="73"/>
      <c r="G18" s="73"/>
      <c r="H18" s="73"/>
      <c r="I18" s="73"/>
      <c r="J18" s="65"/>
      <c r="K18" s="65"/>
      <c r="L18" s="61"/>
      <c r="M18" s="88"/>
      <c r="N18" s="88"/>
      <c r="O18" s="88"/>
      <c r="P18" s="88"/>
      <c r="Q18" s="65"/>
      <c r="R18" s="65"/>
      <c r="S18" s="61"/>
      <c r="T18" s="44"/>
      <c r="U18" s="45"/>
      <c r="V18" s="80"/>
    </row>
    <row r="19" spans="1:46" ht="14.4">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4.4">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555915</v>
      </c>
      <c r="N20" s="69">
        <f>G20+'Oct-22'!N20</f>
        <v>7747</v>
      </c>
      <c r="O20" s="69">
        <f>H20+'Oct-22'!O20</f>
        <v>1753</v>
      </c>
      <c r="P20" s="69">
        <f>I20+'Oct-22'!P20</f>
        <v>244596</v>
      </c>
      <c r="Q20" s="65">
        <f t="shared" si="9"/>
        <v>70.758745320769336</v>
      </c>
      <c r="R20" s="65">
        <f t="shared" si="10"/>
        <v>316.1220764403879</v>
      </c>
      <c r="S20" s="61">
        <f t="shared" si="11"/>
        <v>1.2727885983417555</v>
      </c>
      <c r="T20" s="69">
        <v>8611</v>
      </c>
      <c r="U20" s="71">
        <v>1753</v>
      </c>
      <c r="V20" s="79">
        <v>254421</v>
      </c>
    </row>
    <row r="21" spans="1:46" ht="14.4">
      <c r="A21" s="10"/>
      <c r="B21" s="13"/>
      <c r="C21" s="32" t="s">
        <v>10</v>
      </c>
      <c r="D21" s="27"/>
      <c r="E21" s="35"/>
      <c r="F21" s="73"/>
      <c r="G21" s="73"/>
      <c r="H21" s="73"/>
      <c r="I21" s="73"/>
      <c r="J21" s="65"/>
      <c r="K21" s="65"/>
      <c r="L21" s="61"/>
      <c r="M21" s="88"/>
      <c r="N21" s="88"/>
      <c r="O21" s="88"/>
      <c r="P21" s="88"/>
      <c r="Q21" s="65"/>
      <c r="R21" s="65"/>
      <c r="S21" s="61"/>
      <c r="T21" s="44"/>
      <c r="U21" s="45"/>
      <c r="V21" s="80"/>
    </row>
    <row r="22" spans="1:46" ht="14.4">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4.4">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4.4">
      <c r="A24" s="10"/>
      <c r="B24" s="13"/>
      <c r="C24" s="32" t="s">
        <v>16</v>
      </c>
      <c r="D24" s="27"/>
      <c r="E24" s="33"/>
      <c r="F24" s="73"/>
      <c r="G24" s="73"/>
      <c r="H24" s="73"/>
      <c r="I24" s="73"/>
      <c r="J24" s="65"/>
      <c r="K24" s="65"/>
      <c r="L24" s="61"/>
      <c r="M24" s="88"/>
      <c r="N24" s="88"/>
      <c r="O24" s="88"/>
      <c r="P24" s="88"/>
      <c r="Q24" s="65"/>
      <c r="R24" s="65"/>
      <c r="S24" s="61"/>
      <c r="T24" s="44"/>
      <c r="U24" s="45"/>
      <c r="V24" s="80"/>
    </row>
    <row r="25" spans="1:46" ht="14.4">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4.4">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4.4">
      <c r="A27" s="10"/>
      <c r="B27" s="13"/>
      <c r="C27" s="32" t="s">
        <v>17</v>
      </c>
      <c r="D27" s="27"/>
      <c r="E27" s="33"/>
      <c r="F27" s="73"/>
      <c r="G27" s="73"/>
      <c r="H27" s="73"/>
      <c r="I27" s="73"/>
      <c r="J27" s="65"/>
      <c r="K27" s="65"/>
      <c r="L27" s="61"/>
      <c r="M27" s="88"/>
      <c r="N27" s="88"/>
      <c r="O27" s="88"/>
      <c r="P27" s="88"/>
      <c r="Q27" s="65"/>
      <c r="R27" s="65"/>
      <c r="S27" s="61"/>
      <c r="T27" s="44"/>
      <c r="U27" s="45"/>
      <c r="V27" s="80"/>
    </row>
    <row r="28" spans="1:46" ht="14.4">
      <c r="B28" s="13"/>
      <c r="C28" s="34"/>
      <c r="D28" s="27" t="s">
        <v>5</v>
      </c>
      <c r="E28" s="33"/>
      <c r="F28" s="75">
        <v>24</v>
      </c>
      <c r="G28" s="72">
        <v>20</v>
      </c>
      <c r="H28" s="72">
        <v>8</v>
      </c>
      <c r="I28" s="72">
        <v>17</v>
      </c>
      <c r="J28" s="65">
        <f t="shared" si="0"/>
        <v>0.19999999999999996</v>
      </c>
      <c r="K28" s="65">
        <f t="shared" ref="K28:K31" si="21">IFERROR(F28/H28-1,"n/a")</f>
        <v>2</v>
      </c>
      <c r="L28" s="61">
        <f t="shared" si="12"/>
        <v>0.41176470588235303</v>
      </c>
      <c r="M28" s="69">
        <f>F28+'Oct-22'!M28</f>
        <v>524</v>
      </c>
      <c r="N28" s="69">
        <f>G28+'Oct-22'!N28</f>
        <v>127</v>
      </c>
      <c r="O28" s="69">
        <f>H28+'Oct-22'!O28</f>
        <v>32</v>
      </c>
      <c r="P28" s="69">
        <f>I28+'Oct-22'!P28</f>
        <v>345</v>
      </c>
      <c r="Q28" s="65">
        <f t="shared" ref="Q28:Q31" si="22">IFERROR(M28/N28-1,"n/a")</f>
        <v>3.1259842519685037</v>
      </c>
      <c r="R28" s="65">
        <f t="shared" ref="R28:R31" si="23">IFERROR(M28/O28-1,"n/a")</f>
        <v>15.375</v>
      </c>
      <c r="S28" s="61">
        <f t="shared" ref="S28:S31" si="24">IFERROR(M28/P28-1,"n/a")</f>
        <v>0.51884057971014497</v>
      </c>
      <c r="T28" s="69">
        <v>124</v>
      </c>
      <c r="U28" s="71">
        <v>37</v>
      </c>
      <c r="V28" s="79">
        <f>282+81</f>
        <v>363</v>
      </c>
    </row>
    <row r="29" spans="1:46" ht="14.4">
      <c r="A29" s="10"/>
      <c r="B29" s="13"/>
      <c r="C29" s="34"/>
      <c r="D29" s="27" t="s">
        <v>11</v>
      </c>
      <c r="E29" s="33"/>
      <c r="F29" s="75">
        <f>33475+775</f>
        <v>34250</v>
      </c>
      <c r="G29" s="72">
        <v>14810</v>
      </c>
      <c r="H29" s="72">
        <v>2381</v>
      </c>
      <c r="I29" s="72">
        <v>16811</v>
      </c>
      <c r="J29" s="65">
        <f t="shared" si="0"/>
        <v>1.3126266036461849</v>
      </c>
      <c r="K29" s="65">
        <f t="shared" si="21"/>
        <v>13.384712305753885</v>
      </c>
      <c r="L29" s="61">
        <f t="shared" si="12"/>
        <v>1.0373564927725893</v>
      </c>
      <c r="M29" s="69">
        <f>F29+'Oct-22'!M29</f>
        <v>849961</v>
      </c>
      <c r="N29" s="69">
        <f>G29+'Oct-22'!N29</f>
        <v>165083</v>
      </c>
      <c r="O29" s="69">
        <f>H29+'Oct-22'!O29</f>
        <v>18693</v>
      </c>
      <c r="P29" s="69">
        <f>I29+'Oct-22'!P29</f>
        <v>856498</v>
      </c>
      <c r="Q29" s="65">
        <f t="shared" si="22"/>
        <v>4.1486888413707046</v>
      </c>
      <c r="R29" s="65">
        <f t="shared" si="23"/>
        <v>44.469480554218158</v>
      </c>
      <c r="S29" s="61">
        <f t="shared" si="24"/>
        <v>-7.632241990057187E-3</v>
      </c>
      <c r="T29" s="69">
        <v>165083</v>
      </c>
      <c r="U29" s="71">
        <f>20768+8294</f>
        <v>29062</v>
      </c>
      <c r="V29" s="79">
        <f>659951+168729+38484</f>
        <v>867164</v>
      </c>
    </row>
    <row r="30" spans="1:46" ht="15" customHeight="1" thickBot="1">
      <c r="A30" s="10"/>
      <c r="B30" s="13"/>
      <c r="C30" s="36" t="s">
        <v>12</v>
      </c>
      <c r="D30" s="37"/>
      <c r="E30" s="38"/>
      <c r="F30" s="76">
        <f t="shared" ref="F30:I31" si="25">F13+F16+F19+F22+F25+F28</f>
        <v>302</v>
      </c>
      <c r="G30" s="76">
        <f>G13+G16+G19+G22+G25+G28</f>
        <v>224</v>
      </c>
      <c r="H30" s="76">
        <f t="shared" si="25"/>
        <v>13</v>
      </c>
      <c r="I30" s="76">
        <f t="shared" si="25"/>
        <v>314</v>
      </c>
      <c r="J30" s="67">
        <f t="shared" si="0"/>
        <v>0.34821428571428581</v>
      </c>
      <c r="K30" s="67">
        <f t="shared" si="21"/>
        <v>22.23076923076923</v>
      </c>
      <c r="L30" s="63">
        <f t="shared" si="12"/>
        <v>-3.8216560509554132E-2</v>
      </c>
      <c r="M30" s="47">
        <f t="shared" ref="M30:P31" si="26">M13+M16+M19+M22+M25+M28</f>
        <v>3310</v>
      </c>
      <c r="N30" s="47">
        <f t="shared" si="26"/>
        <v>855</v>
      </c>
      <c r="O30" s="47">
        <f t="shared" si="26"/>
        <v>659</v>
      </c>
      <c r="P30" s="47">
        <f t="shared" si="26"/>
        <v>3053</v>
      </c>
      <c r="Q30" s="67">
        <f t="shared" si="22"/>
        <v>2.871345029239766</v>
      </c>
      <c r="R30" s="67">
        <f t="shared" si="23"/>
        <v>4.0227617602427923</v>
      </c>
      <c r="S30" s="63">
        <f t="shared" si="24"/>
        <v>8.4179495578119878E-2</v>
      </c>
      <c r="T30" s="47">
        <f t="shared" ref="T30:V31" si="27">T13+T16+T19+T22+T25+T28</f>
        <v>1059</v>
      </c>
      <c r="U30" s="47">
        <f t="shared" si="27"/>
        <v>667</v>
      </c>
      <c r="V30" s="81">
        <f t="shared" si="27"/>
        <v>3344</v>
      </c>
    </row>
    <row r="31" spans="1:46" s="23" customFormat="1" ht="15" customHeight="1" thickTop="1" thickBot="1">
      <c r="A31" s="10"/>
      <c r="B31" s="13"/>
      <c r="C31" s="39" t="s">
        <v>13</v>
      </c>
      <c r="D31" s="40"/>
      <c r="E31" s="41"/>
      <c r="F31" s="77">
        <f t="shared" si="25"/>
        <v>675826</v>
      </c>
      <c r="G31" s="77">
        <f t="shared" si="25"/>
        <v>304659</v>
      </c>
      <c r="H31" s="77">
        <f t="shared" si="25"/>
        <v>4854</v>
      </c>
      <c r="I31" s="77">
        <f t="shared" si="25"/>
        <v>745517</v>
      </c>
      <c r="J31" s="68">
        <f t="shared" si="0"/>
        <v>1.2183030864015176</v>
      </c>
      <c r="K31" s="68">
        <f t="shared" si="21"/>
        <v>138.23073753605274</v>
      </c>
      <c r="L31" s="64">
        <f t="shared" si="12"/>
        <v>-9.3480095021307386E-2</v>
      </c>
      <c r="M31" s="48">
        <f t="shared" si="26"/>
        <v>6743357</v>
      </c>
      <c r="N31" s="48">
        <f t="shared" si="26"/>
        <v>1247204</v>
      </c>
      <c r="O31" s="48">
        <f t="shared" si="26"/>
        <v>1312017</v>
      </c>
      <c r="P31" s="48">
        <f t="shared" si="26"/>
        <v>8530365</v>
      </c>
      <c r="Q31" s="68">
        <f t="shared" si="22"/>
        <v>4.4067794843505954</v>
      </c>
      <c r="R31" s="68">
        <f t="shared" si="23"/>
        <v>4.139687214418716</v>
      </c>
      <c r="S31" s="64">
        <f t="shared" si="24"/>
        <v>-0.2094878706831419</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101"/>
      <c r="J34" s="101"/>
      <c r="K34" s="101"/>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101"/>
      <c r="J35" s="101"/>
      <c r="K35" s="101"/>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02" t="str">
        <f>F9</f>
        <v>November</v>
      </c>
      <c r="G36" s="102"/>
      <c r="H36" s="102"/>
      <c r="I36" s="102"/>
      <c r="J36" s="102"/>
      <c r="K36" s="102"/>
      <c r="L36" s="103"/>
      <c r="M36" s="104" t="s">
        <v>96</v>
      </c>
      <c r="N36" s="102"/>
      <c r="O36" s="102"/>
      <c r="P36" s="102"/>
      <c r="Q36" s="102"/>
      <c r="R36" s="102"/>
      <c r="S36" s="103"/>
      <c r="T36" s="104" t="s">
        <v>58</v>
      </c>
      <c r="U36" s="102"/>
      <c r="V36" s="105"/>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62272</v>
      </c>
      <c r="G41" s="75">
        <f t="shared" si="28"/>
        <v>23175</v>
      </c>
      <c r="H41" s="75">
        <f t="shared" si="28"/>
        <v>0</v>
      </c>
      <c r="I41" s="75">
        <f t="shared" si="28"/>
        <v>89764</v>
      </c>
      <c r="J41" s="65">
        <f t="shared" si="29"/>
        <v>1.6870334412081984</v>
      </c>
      <c r="K41" s="65" t="str">
        <f t="shared" ref="K41" si="31">IFERROR(F41/H41-1,"n/a")</f>
        <v>n/a</v>
      </c>
      <c r="L41" s="61">
        <f t="shared" si="30"/>
        <v>-0.30626977407423916</v>
      </c>
      <c r="M41" s="83">
        <f>+M14-'Mar-22'!M11</f>
        <v>112636</v>
      </c>
      <c r="N41" s="83">
        <f>+N14-'Mar-22'!N11</f>
        <v>28096</v>
      </c>
      <c r="O41" s="83">
        <f>+O14-'Mar-22'!O11</f>
        <v>0</v>
      </c>
      <c r="P41" s="83">
        <f>+P14-'Mar-22'!P11</f>
        <v>227713</v>
      </c>
      <c r="Q41" s="65">
        <f>IFERROR(M41/N41-1,"n/a")</f>
        <v>3.0089692482915718</v>
      </c>
      <c r="R41" s="65" t="str">
        <f>IFERROR(M41/O41-1,"n/a")</f>
        <v>n/a</v>
      </c>
      <c r="S41" s="61">
        <f>IFERROR(M41/P41-1,"n/a")</f>
        <v>-0.50535981696258014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554443</v>
      </c>
      <c r="N47" s="83">
        <f>+N20-'Mar-22'!N17</f>
        <v>7747</v>
      </c>
      <c r="O47" s="83">
        <f>+O20-'Mar-22'!O17</f>
        <v>111</v>
      </c>
      <c r="P47" s="83">
        <f>+P20-'Mar-22'!P17</f>
        <v>239458</v>
      </c>
      <c r="Q47" s="65">
        <f>IFERROR(M47/N47-1,"n/a")</f>
        <v>70.568736285013557</v>
      </c>
      <c r="R47" s="65">
        <f>IFERROR(M47/O47-1,"n/a")</f>
        <v>4993.9819819819822</v>
      </c>
      <c r="S47" s="61">
        <f t="shared" si="40"/>
        <v>1.3154081300269778</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24</v>
      </c>
      <c r="G55" s="75">
        <f t="shared" si="52"/>
        <v>20</v>
      </c>
      <c r="H55" s="75">
        <f t="shared" si="52"/>
        <v>8</v>
      </c>
      <c r="I55" s="75">
        <f t="shared" si="52"/>
        <v>17</v>
      </c>
      <c r="J55" s="65">
        <f t="shared" ref="J55:J58" si="53">IFERROR(F55/G55-1,"n/a")</f>
        <v>0.19999999999999996</v>
      </c>
      <c r="K55" s="65">
        <f t="shared" ref="K55:K58" si="54">IFERROR(F55/H55-1,"n/a")</f>
        <v>2</v>
      </c>
      <c r="L55" s="61">
        <f t="shared" ref="L55:L58" si="55">IFERROR(F55/I55-1,"n/a")</f>
        <v>0.41176470588235303</v>
      </c>
      <c r="M55" s="71">
        <f>+M28-'Mar-22'!M25</f>
        <v>508</v>
      </c>
      <c r="N55" s="71">
        <f>+N28-'Mar-22'!N25</f>
        <v>124</v>
      </c>
      <c r="O55" s="71">
        <f>+O28-'Mar-22'!O25</f>
        <v>31</v>
      </c>
      <c r="P55" s="71">
        <f>+P28-'Mar-22'!P25</f>
        <v>341</v>
      </c>
      <c r="Q55" s="65">
        <f>IFERROR(M55/N55-1,"n/a")</f>
        <v>3.096774193548387</v>
      </c>
      <c r="R55" s="65">
        <f>IFERROR(M55/O55-1,"n/a")</f>
        <v>15.387096774193548</v>
      </c>
      <c r="S55" s="61">
        <f t="shared" ref="S55:S58" si="56">IFERROR(M55/P55-1,"n/a")</f>
        <v>0.48973607038123168</v>
      </c>
      <c r="T55" s="90">
        <v>140</v>
      </c>
      <c r="U55" s="71">
        <v>40</v>
      </c>
      <c r="V55" s="79">
        <v>360</v>
      </c>
      <c r="AM55"/>
      <c r="AN55"/>
      <c r="AO55"/>
      <c r="AP55"/>
      <c r="AQ55"/>
      <c r="AR55"/>
      <c r="AS55"/>
      <c r="AT55"/>
    </row>
    <row r="56" spans="1:46" s="10" customFormat="1" ht="15.45" customHeight="1">
      <c r="A56"/>
      <c r="B56"/>
      <c r="C56" s="34"/>
      <c r="D56" s="27" t="s">
        <v>11</v>
      </c>
      <c r="E56" s="33"/>
      <c r="F56" s="75">
        <f t="shared" si="52"/>
        <v>34250</v>
      </c>
      <c r="G56" s="75">
        <f t="shared" si="52"/>
        <v>14810</v>
      </c>
      <c r="H56" s="75">
        <f t="shared" si="52"/>
        <v>2381</v>
      </c>
      <c r="I56" s="75">
        <f t="shared" si="52"/>
        <v>16811</v>
      </c>
      <c r="J56" s="65">
        <f t="shared" si="53"/>
        <v>1.3126266036461849</v>
      </c>
      <c r="K56" s="65">
        <f t="shared" si="54"/>
        <v>13.384712305753885</v>
      </c>
      <c r="L56" s="61">
        <f t="shared" si="55"/>
        <v>1.0373564927725893</v>
      </c>
      <c r="M56" s="83">
        <f>+M29-'Mar-22'!M26</f>
        <v>838361</v>
      </c>
      <c r="N56" s="83">
        <f>+N29-'Mar-22'!N26</f>
        <v>162944</v>
      </c>
      <c r="O56" s="83">
        <f>+O29-'Mar-22'!O26</f>
        <v>17801</v>
      </c>
      <c r="P56" s="83">
        <f>+P29-'Mar-22'!P26</f>
        <v>850389</v>
      </c>
      <c r="Q56" s="65">
        <f>IFERROR(M56/N56-1,"n/a")</f>
        <v>4.1450866555380994</v>
      </c>
      <c r="R56" s="65">
        <f>IFERROR(M56/O56-1,"n/a")</f>
        <v>46.096286725464864</v>
      </c>
      <c r="S56" s="61">
        <f t="shared" si="56"/>
        <v>-1.414411522256287E-2</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302</v>
      </c>
      <c r="G57" s="76">
        <f t="shared" si="57"/>
        <v>224</v>
      </c>
      <c r="H57" s="76">
        <f t="shared" si="57"/>
        <v>13</v>
      </c>
      <c r="I57" s="76">
        <f t="shared" si="57"/>
        <v>314</v>
      </c>
      <c r="J57" s="67">
        <f t="shared" si="53"/>
        <v>0.34821428571428581</v>
      </c>
      <c r="K57" s="67">
        <f t="shared" si="54"/>
        <v>22.23076923076923</v>
      </c>
      <c r="L57" s="63">
        <f t="shared" si="55"/>
        <v>-3.8216560509554132E-2</v>
      </c>
      <c r="M57" s="47">
        <f t="shared" ref="M57:P58" si="58">M40+M43+M46+M49+M52+M55</f>
        <v>2678</v>
      </c>
      <c r="N57" s="47">
        <f t="shared" si="58"/>
        <v>843</v>
      </c>
      <c r="O57" s="47">
        <f t="shared" si="58"/>
        <v>94</v>
      </c>
      <c r="P57" s="47">
        <f t="shared" si="58"/>
        <v>2418</v>
      </c>
      <c r="Q57" s="67">
        <f>IFERROR(M57/N57-1,"n/a")</f>
        <v>2.1767497034400951</v>
      </c>
      <c r="R57" s="67">
        <f>IFERROR(M57/O57-1,"n/a")</f>
        <v>27.48936170212766</v>
      </c>
      <c r="S57" s="63">
        <f t="shared" si="56"/>
        <v>0.10752688172043001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675826</v>
      </c>
      <c r="G58" s="77">
        <f t="shared" si="57"/>
        <v>304659</v>
      </c>
      <c r="H58" s="77">
        <f t="shared" si="57"/>
        <v>4854</v>
      </c>
      <c r="I58" s="77">
        <f t="shared" si="57"/>
        <v>745517</v>
      </c>
      <c r="J58" s="68">
        <f t="shared" si="53"/>
        <v>1.2183030864015176</v>
      </c>
      <c r="K58" s="68">
        <f t="shared" si="54"/>
        <v>138.23073753605274</v>
      </c>
      <c r="L58" s="64">
        <f t="shared" si="55"/>
        <v>-9.3480095021307386E-2</v>
      </c>
      <c r="M58" s="48">
        <f t="shared" si="58"/>
        <v>5875652</v>
      </c>
      <c r="N58" s="48">
        <f t="shared" si="58"/>
        <v>1237101</v>
      </c>
      <c r="O58" s="48">
        <f t="shared" si="58"/>
        <v>35826</v>
      </c>
      <c r="P58" s="48">
        <f t="shared" si="58"/>
        <v>6739839</v>
      </c>
      <c r="Q58" s="68">
        <f>IFERROR(M58/N58-1,"n/a")</f>
        <v>3.7495329807347986</v>
      </c>
      <c r="R58" s="68">
        <f>IFERROR(M58/O58-1,"n/a")</f>
        <v>163.00524758555238</v>
      </c>
      <c r="S58" s="64">
        <f t="shared" si="56"/>
        <v>-0.12822071862547457</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DBC9-7FE4-4428-AAB5-219C01E9147B}">
  <sheetPr>
    <pageSetUpPr fitToPage="1"/>
  </sheetPr>
  <dimension ref="A1:AT65"/>
  <sheetViews>
    <sheetView showGridLines="0" topLeftCell="A11" zoomScale="110" zoomScaleNormal="110" zoomScalePageLayoutView="40" workbookViewId="0">
      <selection activeCell="E17" sqref="E17"/>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44880</v>
      </c>
    </row>
    <row r="4" spans="1:38" ht="16.2">
      <c r="A4" s="10"/>
      <c r="B4" s="12" t="s">
        <v>7</v>
      </c>
      <c r="C4" s="27"/>
      <c r="D4" s="25"/>
      <c r="E4" s="59" t="s">
        <v>91</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24</v>
      </c>
      <c r="G9" s="102"/>
      <c r="H9" s="102"/>
      <c r="I9" s="102"/>
      <c r="J9" s="102"/>
      <c r="K9" s="102"/>
      <c r="L9" s="103"/>
      <c r="M9" s="104" t="s">
        <v>92</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4.4">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4.4">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4.4">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524608</v>
      </c>
      <c r="N20" s="69">
        <f>G20+'Sep-22'!N20</f>
        <v>3535</v>
      </c>
      <c r="O20" s="69">
        <f>H20+'Sep-22'!O20</f>
        <v>1753</v>
      </c>
      <c r="P20" s="69">
        <f>I20+'Sep-22'!P20</f>
        <v>231541</v>
      </c>
      <c r="Q20" s="65">
        <f t="shared" si="9"/>
        <v>147.40396039603959</v>
      </c>
      <c r="R20" s="65">
        <f t="shared" si="10"/>
        <v>298.26297775242443</v>
      </c>
      <c r="S20" s="61">
        <f t="shared" si="11"/>
        <v>1.2657239970458796</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4.4">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4.4">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79</v>
      </c>
      <c r="G28" s="72">
        <v>28</v>
      </c>
      <c r="H28" s="72">
        <v>12</v>
      </c>
      <c r="I28" s="72">
        <v>71</v>
      </c>
      <c r="J28" s="65">
        <f t="shared" si="0"/>
        <v>1.8214285714285716</v>
      </c>
      <c r="K28" s="65">
        <f t="shared" ref="K28:K31" si="21">IFERROR(F28/H28-1,"n/a")</f>
        <v>5.583333333333333</v>
      </c>
      <c r="L28" s="61">
        <f t="shared" si="12"/>
        <v>0.11267605633802824</v>
      </c>
      <c r="M28" s="69">
        <f>F28+'Sep-22'!M28</f>
        <v>500</v>
      </c>
      <c r="N28" s="69">
        <f>G28+'Sep-22'!N28</f>
        <v>107</v>
      </c>
      <c r="O28" s="69">
        <f>H28+'Sep-22'!O28</f>
        <v>24</v>
      </c>
      <c r="P28" s="69">
        <f>I28+'Sep-22'!P28</f>
        <v>328</v>
      </c>
      <c r="Q28" s="65">
        <f t="shared" ref="Q28:Q31" si="22">IFERROR(M28/N28-1,"n/a")</f>
        <v>3.6728971962616823</v>
      </c>
      <c r="R28" s="65">
        <f t="shared" ref="R28:R31" si="23">IFERROR(M28/O28-1,"n/a")</f>
        <v>19.833333333333332</v>
      </c>
      <c r="S28" s="61">
        <f t="shared" ref="S28:S31" si="24">IFERROR(M28/P28-1,"n/a")</f>
        <v>0.52439024390243905</v>
      </c>
      <c r="T28" s="69">
        <v>124</v>
      </c>
      <c r="U28" s="71">
        <v>37</v>
      </c>
      <c r="V28" s="79">
        <f>282+81</f>
        <v>363</v>
      </c>
    </row>
    <row r="29" spans="1:38" ht="14.4">
      <c r="A29" s="10"/>
      <c r="B29" s="13"/>
      <c r="C29" s="34"/>
      <c r="D29" s="27" t="s">
        <v>11</v>
      </c>
      <c r="E29" s="33"/>
      <c r="F29" s="75">
        <f>111554+10869</f>
        <v>122423</v>
      </c>
      <c r="G29" s="72">
        <v>32614</v>
      </c>
      <c r="H29" s="72">
        <v>5592</v>
      </c>
      <c r="I29" s="72">
        <v>138907</v>
      </c>
      <c r="J29" s="65">
        <f t="shared" si="0"/>
        <v>2.7536947323235421</v>
      </c>
      <c r="K29" s="65">
        <f t="shared" si="21"/>
        <v>20.892525035765377</v>
      </c>
      <c r="L29" s="61">
        <f t="shared" si="12"/>
        <v>-0.11866932551995224</v>
      </c>
      <c r="M29" s="69">
        <f>F29+'Sep-22'!M29</f>
        <v>815711</v>
      </c>
      <c r="N29" s="69">
        <f>G29+'Sep-22'!N29</f>
        <v>150273</v>
      </c>
      <c r="O29" s="69">
        <f>H29+'Sep-22'!O29</f>
        <v>16312</v>
      </c>
      <c r="P29" s="69">
        <f>I29+'Sep-22'!P29</f>
        <v>839687</v>
      </c>
      <c r="Q29" s="65">
        <f t="shared" si="22"/>
        <v>4.4281940202165391</v>
      </c>
      <c r="R29" s="65">
        <f t="shared" si="23"/>
        <v>49.006804806277586</v>
      </c>
      <c r="S29" s="61">
        <f t="shared" si="24"/>
        <v>-2.8553496719611049E-2</v>
      </c>
      <c r="T29" s="69">
        <v>165083</v>
      </c>
      <c r="U29" s="71">
        <f>20768+8294</f>
        <v>29062</v>
      </c>
      <c r="V29" s="79">
        <f>659951+168729+38484</f>
        <v>867164</v>
      </c>
    </row>
    <row r="30" spans="1:38" ht="15" customHeight="1" thickBot="1">
      <c r="A30" s="10"/>
      <c r="B30" s="13"/>
      <c r="C30" s="36" t="s">
        <v>12</v>
      </c>
      <c r="D30" s="37"/>
      <c r="E30" s="38"/>
      <c r="F30" s="76">
        <f t="shared" ref="F30:I31" si="25">F13+F16+F19+F22+F25+F28</f>
        <v>406</v>
      </c>
      <c r="G30" s="76">
        <f t="shared" si="25"/>
        <v>249</v>
      </c>
      <c r="H30" s="76">
        <f t="shared" si="25"/>
        <v>20</v>
      </c>
      <c r="I30" s="76">
        <f t="shared" si="25"/>
        <v>393</v>
      </c>
      <c r="J30" s="67">
        <f t="shared" si="0"/>
        <v>0.63052208835341372</v>
      </c>
      <c r="K30" s="67">
        <f t="shared" si="21"/>
        <v>19.3</v>
      </c>
      <c r="L30" s="63">
        <f t="shared" si="12"/>
        <v>3.30788804071247E-2</v>
      </c>
      <c r="M30" s="47">
        <f t="shared" ref="M30:P31" si="26">M13+M16+M19+M22+M25+M28</f>
        <v>3008</v>
      </c>
      <c r="N30" s="47">
        <f t="shared" si="26"/>
        <v>631</v>
      </c>
      <c r="O30" s="47">
        <f t="shared" si="26"/>
        <v>646</v>
      </c>
      <c r="P30" s="47">
        <f t="shared" si="26"/>
        <v>2739</v>
      </c>
      <c r="Q30" s="67">
        <f t="shared" si="22"/>
        <v>3.7670364500792397</v>
      </c>
      <c r="R30" s="67">
        <f t="shared" si="23"/>
        <v>3.6563467492260058</v>
      </c>
      <c r="S30" s="63">
        <f t="shared" si="24"/>
        <v>9.8211025921869366E-2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850715</v>
      </c>
      <c r="G31" s="77">
        <f t="shared" si="25"/>
        <v>369553</v>
      </c>
      <c r="H31" s="77">
        <f t="shared" si="25"/>
        <v>13954</v>
      </c>
      <c r="I31" s="77">
        <f t="shared" si="25"/>
        <v>930242</v>
      </c>
      <c r="J31" s="68">
        <f t="shared" si="0"/>
        <v>1.3020108076514059</v>
      </c>
      <c r="K31" s="68">
        <f t="shared" si="21"/>
        <v>59.965672925326068</v>
      </c>
      <c r="L31" s="64">
        <f t="shared" si="12"/>
        <v>-8.549065726982874E-2</v>
      </c>
      <c r="M31" s="48">
        <f t="shared" si="26"/>
        <v>6067531</v>
      </c>
      <c r="N31" s="48">
        <f t="shared" si="26"/>
        <v>942545</v>
      </c>
      <c r="O31" s="48">
        <f t="shared" si="26"/>
        <v>1307163</v>
      </c>
      <c r="P31" s="48">
        <f t="shared" si="26"/>
        <v>7784848</v>
      </c>
      <c r="Q31" s="68">
        <f t="shared" si="22"/>
        <v>5.4373913181863998</v>
      </c>
      <c r="R31" s="68">
        <f t="shared" si="23"/>
        <v>3.6417554658447342</v>
      </c>
      <c r="S31" s="64">
        <f t="shared" si="24"/>
        <v>-0.22059737068726326</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101"/>
      <c r="J34" s="101"/>
      <c r="K34" s="101"/>
      <c r="L34" s="25"/>
      <c r="M34" s="25"/>
      <c r="N34" s="25"/>
      <c r="O34" s="25"/>
      <c r="P34" s="25"/>
      <c r="Q34" s="25"/>
      <c r="R34" s="25"/>
      <c r="S34" s="25"/>
      <c r="T34" s="25"/>
      <c r="U34" s="25"/>
      <c r="V34" s="25"/>
    </row>
    <row r="35" spans="1:22" ht="14.4">
      <c r="A35" s="10"/>
      <c r="B35" s="11"/>
      <c r="C35" s="25"/>
      <c r="D35" s="25"/>
      <c r="E35" s="25"/>
      <c r="F35" s="25"/>
      <c r="G35" s="25"/>
      <c r="H35" s="25"/>
      <c r="I35" s="101"/>
      <c r="J35" s="101"/>
      <c r="K35" s="101"/>
      <c r="L35" s="25"/>
      <c r="M35" s="25"/>
      <c r="N35" s="25"/>
      <c r="O35" s="25"/>
      <c r="P35" s="25"/>
      <c r="Q35" s="25"/>
      <c r="R35" s="25"/>
      <c r="S35" s="25"/>
      <c r="T35" s="25"/>
      <c r="U35" s="25"/>
      <c r="V35" s="25"/>
    </row>
    <row r="36" spans="1:22" ht="15" customHeight="1">
      <c r="A36" s="10"/>
      <c r="B36" s="10"/>
      <c r="C36" s="28" t="s">
        <v>7</v>
      </c>
      <c r="D36" s="29"/>
      <c r="E36" s="29"/>
      <c r="F36" s="102" t="str">
        <f>F9</f>
        <v>October</v>
      </c>
      <c r="G36" s="102"/>
      <c r="H36" s="102"/>
      <c r="I36" s="102"/>
      <c r="J36" s="102"/>
      <c r="K36" s="102"/>
      <c r="L36" s="103"/>
      <c r="M36" s="104" t="s">
        <v>93</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523136</v>
      </c>
      <c r="N47" s="83">
        <f>+N20-'Mar-22'!N17</f>
        <v>3535</v>
      </c>
      <c r="O47" s="83">
        <f>+O20-'Mar-22'!O17</f>
        <v>111</v>
      </c>
      <c r="P47" s="83">
        <f>+P20-'Mar-22'!P17</f>
        <v>226403</v>
      </c>
      <c r="Q47" s="65">
        <f>IFERROR(M47/N47-1,"n/a")</f>
        <v>146.9875530410184</v>
      </c>
      <c r="R47" s="65">
        <f>IFERROR(M47/O47-1,"n/a")</f>
        <v>4711.9369369369369</v>
      </c>
      <c r="S47" s="61">
        <f t="shared" si="37"/>
        <v>1.3106407600606</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48">F28</f>
        <v>79</v>
      </c>
      <c r="G55" s="75">
        <f t="shared" si="48"/>
        <v>28</v>
      </c>
      <c r="H55" s="72">
        <f t="shared" si="48"/>
        <v>12</v>
      </c>
      <c r="I55" s="75">
        <f t="shared" si="48"/>
        <v>71</v>
      </c>
      <c r="J55" s="65">
        <f t="shared" ref="J55:J58" si="49">IFERROR(F55/G55-1,"n/a")</f>
        <v>1.8214285714285716</v>
      </c>
      <c r="K55" s="65">
        <f t="shared" ref="K55:K58" si="50">IFERROR(F55/H55-1,"n/a")</f>
        <v>5.583333333333333</v>
      </c>
      <c r="L55" s="61">
        <f t="shared" ref="L55:L58" si="51">IFERROR(F55/I55-1,"n/a")</f>
        <v>0.11267605633802824</v>
      </c>
      <c r="M55" s="71">
        <f>+M28-'Mar-22'!M25</f>
        <v>484</v>
      </c>
      <c r="N55" s="71">
        <f>+N28-'Mar-22'!N25</f>
        <v>104</v>
      </c>
      <c r="O55" s="71">
        <f>+O28-'Mar-22'!O25</f>
        <v>23</v>
      </c>
      <c r="P55" s="71">
        <f>+P28-'Mar-22'!P25</f>
        <v>324</v>
      </c>
      <c r="Q55" s="65">
        <f>IFERROR(M55/N55-1,"n/a")</f>
        <v>3.6538461538461542</v>
      </c>
      <c r="R55" s="65">
        <f>IFERROR(M55/O55-1,"n/a")</f>
        <v>20.043478260869566</v>
      </c>
      <c r="S55" s="61">
        <f t="shared" ref="S55:S58" si="52">IFERROR(M55/P55-1,"n/a")</f>
        <v>0.49382716049382713</v>
      </c>
      <c r="T55" s="90">
        <v>140</v>
      </c>
      <c r="U55" s="71">
        <v>40</v>
      </c>
      <c r="V55" s="79">
        <v>360</v>
      </c>
    </row>
    <row r="56" spans="3:22" ht="15.45" customHeight="1">
      <c r="C56" s="34"/>
      <c r="D56" s="27" t="s">
        <v>11</v>
      </c>
      <c r="E56" s="33"/>
      <c r="F56" s="75">
        <f t="shared" si="48"/>
        <v>122423</v>
      </c>
      <c r="G56" s="75">
        <f t="shared" si="48"/>
        <v>32614</v>
      </c>
      <c r="H56" s="72">
        <f t="shared" si="48"/>
        <v>5592</v>
      </c>
      <c r="I56" s="75">
        <f t="shared" si="48"/>
        <v>138907</v>
      </c>
      <c r="J56" s="65">
        <f t="shared" si="49"/>
        <v>2.7536947323235421</v>
      </c>
      <c r="K56" s="65">
        <f t="shared" si="50"/>
        <v>20.892525035765377</v>
      </c>
      <c r="L56" s="61">
        <f t="shared" si="51"/>
        <v>-0.11866932551995224</v>
      </c>
      <c r="M56" s="83">
        <f>+M29-'Mar-22'!M26</f>
        <v>804111</v>
      </c>
      <c r="N56" s="83">
        <f>+N29-'Mar-22'!N26</f>
        <v>148134</v>
      </c>
      <c r="O56" s="83">
        <f>+O29-'Mar-22'!O26</f>
        <v>15420</v>
      </c>
      <c r="P56" s="83">
        <f>+P29-'Mar-22'!P26</f>
        <v>833578</v>
      </c>
      <c r="Q56" s="65">
        <f>IFERROR(M56/N56-1,"n/a")</f>
        <v>4.4282676495605333</v>
      </c>
      <c r="R56" s="65">
        <f>IFERROR(M56/O56-1,"n/a")</f>
        <v>51.14727626459144</v>
      </c>
      <c r="S56" s="61">
        <f t="shared" si="52"/>
        <v>-3.5350021233765738E-2</v>
      </c>
      <c r="T56" s="83">
        <v>174336</v>
      </c>
      <c r="U56" s="85">
        <v>21928</v>
      </c>
      <c r="V56" s="79">
        <f>706948+155011</f>
        <v>861959</v>
      </c>
    </row>
    <row r="57" spans="3:22" ht="26.7" customHeight="1" thickBot="1">
      <c r="C57" s="36" t="s">
        <v>12</v>
      </c>
      <c r="D57" s="37"/>
      <c r="E57" s="38"/>
      <c r="F57" s="76">
        <f t="shared" ref="F57:I58" si="53">F40+F43+F46+F49+F52+F55</f>
        <v>406</v>
      </c>
      <c r="G57" s="76">
        <f t="shared" si="53"/>
        <v>249</v>
      </c>
      <c r="H57" s="76">
        <f t="shared" si="53"/>
        <v>20</v>
      </c>
      <c r="I57" s="76">
        <f t="shared" si="53"/>
        <v>393</v>
      </c>
      <c r="J57" s="67">
        <f t="shared" si="49"/>
        <v>0.63052208835341372</v>
      </c>
      <c r="K57" s="67">
        <f t="shared" si="50"/>
        <v>19.3</v>
      </c>
      <c r="L57" s="63">
        <f t="shared" si="51"/>
        <v>3.30788804071247E-2</v>
      </c>
      <c r="M57" s="47">
        <f t="shared" ref="M57:P58" si="54">M40+M43+M46+M49+M52+M55</f>
        <v>2376</v>
      </c>
      <c r="N57" s="47">
        <f t="shared" si="54"/>
        <v>619</v>
      </c>
      <c r="O57" s="47">
        <f t="shared" si="54"/>
        <v>81</v>
      </c>
      <c r="P57" s="47">
        <f t="shared" si="54"/>
        <v>2104</v>
      </c>
      <c r="Q57" s="67">
        <f>IFERROR(M57/N57-1,"n/a")</f>
        <v>2.8384491114701129</v>
      </c>
      <c r="R57" s="67">
        <f>IFERROR(M57/O57-1,"n/a")</f>
        <v>28.333333333333332</v>
      </c>
      <c r="S57" s="63">
        <f t="shared" si="52"/>
        <v>0.12927756653992395</v>
      </c>
      <c r="T57" s="47">
        <f t="shared" ref="T57:V58" si="55">T40+T43+T46+T49+T52+T55</f>
        <v>1682</v>
      </c>
      <c r="U57" s="47">
        <f t="shared" si="55"/>
        <v>679</v>
      </c>
      <c r="V57" s="81">
        <f t="shared" si="55"/>
        <v>3274</v>
      </c>
    </row>
    <row r="58" spans="3:22" ht="26.7" customHeight="1" thickTop="1" thickBot="1">
      <c r="C58" s="39" t="s">
        <v>13</v>
      </c>
      <c r="D58" s="40"/>
      <c r="E58" s="41"/>
      <c r="F58" s="77">
        <f t="shared" si="53"/>
        <v>850715</v>
      </c>
      <c r="G58" s="77">
        <f t="shared" si="53"/>
        <v>369553</v>
      </c>
      <c r="H58" s="77">
        <f t="shared" si="53"/>
        <v>13954</v>
      </c>
      <c r="I58" s="77">
        <f t="shared" si="53"/>
        <v>930242</v>
      </c>
      <c r="J58" s="68">
        <f t="shared" si="49"/>
        <v>1.3020108076514059</v>
      </c>
      <c r="K58" s="68">
        <f t="shared" si="50"/>
        <v>59.965672925326068</v>
      </c>
      <c r="L58" s="64">
        <f t="shared" si="51"/>
        <v>-8.549065726982874E-2</v>
      </c>
      <c r="M58" s="48">
        <f t="shared" si="54"/>
        <v>5199826</v>
      </c>
      <c r="N58" s="48">
        <f t="shared" si="54"/>
        <v>932442</v>
      </c>
      <c r="O58" s="48">
        <f t="shared" si="54"/>
        <v>30972</v>
      </c>
      <c r="P58" s="48">
        <f t="shared" si="54"/>
        <v>5994322</v>
      </c>
      <c r="Q58" s="68">
        <f>IFERROR(M58/N58-1,"n/a")</f>
        <v>4.5765677650727872</v>
      </c>
      <c r="R58" s="68">
        <f>IFERROR(M58/O58-1,"n/a")</f>
        <v>166.88796332170992</v>
      </c>
      <c r="S58" s="64">
        <f t="shared" si="52"/>
        <v>-0.13254142837171579</v>
      </c>
      <c r="T58" s="48">
        <f t="shared" si="55"/>
        <v>2411641</v>
      </c>
      <c r="U58" s="48">
        <f t="shared" si="55"/>
        <v>1324261</v>
      </c>
      <c r="V58" s="82">
        <f t="shared" si="55"/>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4E824-240A-4CFB-AAEF-D7760037A696}">
  <sheetPr>
    <pageSetUpPr fitToPage="1"/>
  </sheetPr>
  <dimension ref="A1:AT59"/>
  <sheetViews>
    <sheetView showGridLines="0" zoomScale="110" zoomScaleNormal="110" zoomScalePageLayoutView="40" workbookViewId="0">
      <selection activeCell="P31" sqref="P3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88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22</v>
      </c>
      <c r="G9" s="102"/>
      <c r="H9" s="102"/>
      <c r="I9" s="102"/>
      <c r="J9" s="102"/>
      <c r="K9" s="102"/>
      <c r="L9" s="103"/>
      <c r="M9" s="104" t="s">
        <v>89</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422480</v>
      </c>
      <c r="N20" s="69">
        <f>G20+'Aug-22'!N20</f>
        <v>424</v>
      </c>
      <c r="O20" s="69">
        <f>H20+'Aug-22'!O20</f>
        <v>1753</v>
      </c>
      <c r="P20" s="69">
        <f>I20+'Aug-22'!P20</f>
        <v>203378</v>
      </c>
      <c r="Q20" s="65">
        <f t="shared" si="9"/>
        <v>995.41509433962267</v>
      </c>
      <c r="R20" s="65">
        <f t="shared" si="10"/>
        <v>240.00399315459214</v>
      </c>
      <c r="S20" s="61">
        <f t="shared" si="11"/>
        <v>1.0773141637738597</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124</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5216816</v>
      </c>
      <c r="N31" s="48">
        <f t="shared" si="26"/>
        <v>572992</v>
      </c>
      <c r="O31" s="48">
        <f t="shared" si="26"/>
        <v>1293209</v>
      </c>
      <c r="P31" s="48">
        <f t="shared" si="26"/>
        <v>6854606</v>
      </c>
      <c r="Q31" s="68">
        <f t="shared" si="22"/>
        <v>8.1045180386462636</v>
      </c>
      <c r="R31" s="68">
        <f t="shared" si="23"/>
        <v>3.0340084240057097</v>
      </c>
      <c r="S31" s="64">
        <f t="shared" si="24"/>
        <v>-0.2389327701694306</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101"/>
      <c r="J34" s="101"/>
      <c r="K34" s="101"/>
      <c r="L34" s="25"/>
      <c r="M34" s="25"/>
      <c r="N34" s="25"/>
      <c r="O34" s="25"/>
      <c r="P34" s="25"/>
      <c r="Q34" s="25"/>
      <c r="R34" s="25"/>
      <c r="S34" s="25"/>
      <c r="T34" s="25"/>
      <c r="U34" s="25"/>
      <c r="V34" s="25"/>
    </row>
    <row r="35" spans="1:22" ht="14.4">
      <c r="A35" s="10"/>
      <c r="B35" s="11"/>
      <c r="C35" s="25"/>
      <c r="D35" s="25"/>
      <c r="E35" s="25"/>
      <c r="F35" s="25"/>
      <c r="G35" s="25"/>
      <c r="H35" s="25"/>
      <c r="I35" s="101"/>
      <c r="J35" s="101"/>
      <c r="K35" s="101"/>
      <c r="L35" s="25"/>
      <c r="M35" s="25"/>
      <c r="N35" s="25"/>
      <c r="O35" s="25"/>
      <c r="P35" s="25"/>
      <c r="Q35" s="25"/>
      <c r="R35" s="25"/>
      <c r="S35" s="25"/>
      <c r="T35" s="25"/>
      <c r="U35" s="25"/>
      <c r="V35" s="25"/>
    </row>
    <row r="36" spans="1:22" ht="15" customHeight="1">
      <c r="A36" s="10"/>
      <c r="B36" s="10"/>
      <c r="C36" s="28" t="s">
        <v>7</v>
      </c>
      <c r="D36" s="29"/>
      <c r="E36" s="29"/>
      <c r="F36" s="102" t="str">
        <f>F9</f>
        <v>September</v>
      </c>
      <c r="G36" s="102"/>
      <c r="H36" s="102"/>
      <c r="I36" s="102"/>
      <c r="J36" s="102"/>
      <c r="K36" s="102"/>
      <c r="L36" s="103"/>
      <c r="M36" s="104" t="s">
        <v>90</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421008</v>
      </c>
      <c r="N47" s="83">
        <f>+N20-'Mar-22'!N17</f>
        <v>424</v>
      </c>
      <c r="O47" s="83">
        <f>+O20-'Mar-22'!O17</f>
        <v>111</v>
      </c>
      <c r="P47" s="83">
        <f>+P20-'Mar-22'!P17</f>
        <v>198240</v>
      </c>
      <c r="Q47" s="65">
        <f>IFERROR(M47/N47-1,"n/a")</f>
        <v>991.94339622641508</v>
      </c>
      <c r="R47" s="65">
        <f>IFERROR(M47/O47-1,"n/a")</f>
        <v>3791.864864864865</v>
      </c>
      <c r="S47" s="61">
        <f t="shared" si="41"/>
        <v>1.123728813559322</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4349111</v>
      </c>
      <c r="N58" s="48">
        <f t="shared" si="59"/>
        <v>562889</v>
      </c>
      <c r="O58" s="48">
        <f t="shared" si="59"/>
        <v>17018</v>
      </c>
      <c r="P58" s="48">
        <f t="shared" si="59"/>
        <v>5064080</v>
      </c>
      <c r="Q58" s="68">
        <f>IFERROR(M58/N58-1,"n/a")</f>
        <v>6.7264096473727504</v>
      </c>
      <c r="R58" s="68">
        <f>IFERROR(M58/O58-1,"n/a")</f>
        <v>254.5594664472911</v>
      </c>
      <c r="S58" s="64">
        <f t="shared" si="57"/>
        <v>-0.14118438097344432</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59"/>
  <sheetViews>
    <sheetView showGridLines="0" zoomScale="110" zoomScaleNormal="110" zoomScalePageLayoutView="40" workbookViewId="0">
      <selection activeCell="F29" sqref="F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69</v>
      </c>
      <c r="G9" s="102"/>
      <c r="H9" s="102"/>
      <c r="I9" s="102"/>
      <c r="J9" s="102"/>
      <c r="K9" s="102"/>
      <c r="L9" s="103"/>
      <c r="M9" s="104" t="s">
        <v>71</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4.4">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342234</v>
      </c>
      <c r="N20" s="69">
        <f>G20+'Jul-22'!N20</f>
        <v>0</v>
      </c>
      <c r="O20" s="69">
        <f>H20+'Jul-22'!O20</f>
        <v>1753</v>
      </c>
      <c r="P20" s="69">
        <f>I20+'Jul-22'!P20</f>
        <v>167542</v>
      </c>
      <c r="Q20" s="65" t="str">
        <f t="shared" si="9"/>
        <v>n/a</v>
      </c>
      <c r="R20" s="65">
        <f t="shared" si="10"/>
        <v>194.22760981175128</v>
      </c>
      <c r="S20" s="61">
        <f t="shared" si="11"/>
        <v>1.04267586634993</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124</v>
      </c>
      <c r="U28" s="71">
        <v>37</v>
      </c>
      <c r="V28" s="79">
        <f>282+81</f>
        <v>363</v>
      </c>
    </row>
    <row r="29" spans="1:38" ht="14.4">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4378949</v>
      </c>
      <c r="N31" s="48">
        <f t="shared" si="26"/>
        <v>332144</v>
      </c>
      <c r="O31" s="48">
        <f t="shared" si="26"/>
        <v>1287137</v>
      </c>
      <c r="P31" s="48">
        <f t="shared" si="26"/>
        <v>6070338</v>
      </c>
      <c r="Q31" s="68">
        <f t="shared" si="22"/>
        <v>12.183887109205646</v>
      </c>
      <c r="R31" s="68">
        <f t="shared" si="23"/>
        <v>2.4020846265782119</v>
      </c>
      <c r="S31" s="64">
        <f t="shared" si="24"/>
        <v>-0.27863176646835808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August</v>
      </c>
      <c r="G36" s="102"/>
      <c r="H36" s="102"/>
      <c r="I36" s="102"/>
      <c r="J36" s="102"/>
      <c r="K36" s="102"/>
      <c r="L36" s="103"/>
      <c r="M36" s="104" t="s">
        <v>70</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340762</v>
      </c>
      <c r="N47" s="83">
        <f>+N20-'Mar-22'!N17</f>
        <v>0</v>
      </c>
      <c r="O47" s="83">
        <f>+O20-'Mar-22'!O17</f>
        <v>111</v>
      </c>
      <c r="P47" s="83">
        <f>+P20-'Mar-22'!P17</f>
        <v>162404</v>
      </c>
      <c r="Q47" s="65" t="str">
        <f>IFERROR(M47/N47-1,"n/a")</f>
        <v>n/a</v>
      </c>
      <c r="R47" s="65">
        <f>IFERROR(M47/O47-1,"n/a")</f>
        <v>3068.9279279279281</v>
      </c>
      <c r="S47" s="61">
        <f t="shared" si="41"/>
        <v>1.0982364966380138</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7"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7"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3511244</v>
      </c>
      <c r="N58" s="48">
        <f t="shared" si="59"/>
        <v>322041</v>
      </c>
      <c r="O58" s="48">
        <f t="shared" si="59"/>
        <v>10946</v>
      </c>
      <c r="P58" s="48">
        <f t="shared" si="59"/>
        <v>4279812</v>
      </c>
      <c r="Q58" s="68">
        <f>IFERROR(M58/N58-1,"n/a")</f>
        <v>9.9030961896156082</v>
      </c>
      <c r="R58" s="68">
        <f>IFERROR(M58/O58-1,"n/a")</f>
        <v>319.7787319568792</v>
      </c>
      <c r="S58" s="64">
        <f t="shared" si="57"/>
        <v>-0.17957985070372251</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9"/>
  <sheetViews>
    <sheetView showGridLines="0" zoomScale="85" zoomScaleNormal="85" zoomScalePageLayoutView="40" workbookViewId="0">
      <selection activeCell="F29" sqref="F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55</v>
      </c>
      <c r="G9" s="102"/>
      <c r="H9" s="102"/>
      <c r="I9" s="102"/>
      <c r="J9" s="102"/>
      <c r="K9" s="102"/>
      <c r="L9" s="103"/>
      <c r="M9" s="104" t="s">
        <v>60</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239678</v>
      </c>
      <c r="N20" s="69">
        <f>G20+'Jun-22'!N17</f>
        <v>0</v>
      </c>
      <c r="O20" s="69">
        <f>H20+'Jun-22'!O17</f>
        <v>1753</v>
      </c>
      <c r="P20" s="69">
        <f>I20+'Jun-22'!P17</f>
        <v>117191</v>
      </c>
      <c r="Q20" s="65" t="str">
        <f t="shared" si="9"/>
        <v>n/a</v>
      </c>
      <c r="R20" s="65">
        <f t="shared" si="10"/>
        <v>135.72447233314318</v>
      </c>
      <c r="S20" s="61">
        <f t="shared" si="11"/>
        <v>1.0451911836233156</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124</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3490135</v>
      </c>
      <c r="N31" s="48">
        <f t="shared" si="26"/>
        <v>166584</v>
      </c>
      <c r="O31" s="48">
        <f t="shared" si="26"/>
        <v>1284596</v>
      </c>
      <c r="P31" s="48">
        <f t="shared" si="26"/>
        <v>5144226</v>
      </c>
      <c r="Q31" s="68">
        <f t="shared" si="22"/>
        <v>19.95120179609086</v>
      </c>
      <c r="R31" s="68">
        <f t="shared" si="23"/>
        <v>1.7169125546086086</v>
      </c>
      <c r="S31" s="64">
        <f t="shared" si="24"/>
        <v>-0.3215432214681081</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July</v>
      </c>
      <c r="G36" s="102"/>
      <c r="H36" s="102"/>
      <c r="I36" s="102"/>
      <c r="J36" s="102"/>
      <c r="K36" s="102"/>
      <c r="L36" s="103"/>
      <c r="M36" s="104" t="s">
        <v>61</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238206</v>
      </c>
      <c r="N47" s="83">
        <f>+N20-'Mar-22'!N17</f>
        <v>0</v>
      </c>
      <c r="O47" s="83">
        <f>+O20-'Mar-22'!O17</f>
        <v>111</v>
      </c>
      <c r="P47" s="83">
        <f>+P20-'Mar-22'!P17</f>
        <v>112053</v>
      </c>
      <c r="Q47" s="65" t="str">
        <f>IFERROR(M47/N47-1,"n/a")</f>
        <v>n/a</v>
      </c>
      <c r="R47" s="65">
        <f>IFERROR(M47/O47-1,"n/a")</f>
        <v>2145</v>
      </c>
      <c r="S47" s="61">
        <f t="shared" si="42"/>
        <v>1.1258333110224625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2622430</v>
      </c>
      <c r="N58" s="48">
        <f t="shared" si="68"/>
        <v>156481</v>
      </c>
      <c r="O58" s="48">
        <f t="shared" si="68"/>
        <v>8405</v>
      </c>
      <c r="P58" s="48">
        <f t="shared" ref="P58" si="69">P41+P44+P47+P50+P53+P56</f>
        <v>3353700</v>
      </c>
      <c r="Q58" s="68">
        <f>IFERROR(M58/N58-1,"n/a")</f>
        <v>15.758775825819107</v>
      </c>
      <c r="R58" s="68">
        <f>IFERROR(M58/O58-1,"n/a")</f>
        <v>311.0083283759667</v>
      </c>
      <c r="S58" s="64">
        <f t="shared" si="61"/>
        <v>-0.21804872230670602</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8"/>
  <sheetViews>
    <sheetView showGridLines="0" zoomScale="85" zoomScaleNormal="85" workbookViewId="0">
      <selection activeCell="M28" sqref="M28"/>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51</v>
      </c>
      <c r="G6" s="102"/>
      <c r="H6" s="102"/>
      <c r="I6" s="102"/>
      <c r="J6" s="102"/>
      <c r="K6" s="102"/>
      <c r="L6" s="103"/>
      <c r="M6" s="104" t="s">
        <v>52</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158488</v>
      </c>
      <c r="N17" s="69">
        <f>G17+'May-22'!N17</f>
        <v>0</v>
      </c>
      <c r="O17" s="69">
        <f>H17+'May-22'!O17</f>
        <v>1642</v>
      </c>
      <c r="P17" s="69">
        <f>I17+'May-22'!P17</f>
        <v>76540</v>
      </c>
      <c r="Q17" s="65" t="str">
        <f t="shared" si="9"/>
        <v>n/a</v>
      </c>
      <c r="R17" s="65">
        <f t="shared" si="10"/>
        <v>95.521315468940315</v>
      </c>
      <c r="S17" s="61">
        <f t="shared" si="11"/>
        <v>1.0706558662137446</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124</v>
      </c>
      <c r="U25" s="71">
        <v>37</v>
      </c>
      <c r="V25" s="71">
        <f>282+81</f>
        <v>363</v>
      </c>
    </row>
    <row r="26" spans="1:38" ht="14.4">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1059</v>
      </c>
      <c r="U27" s="47">
        <f t="shared" si="27"/>
        <v>667</v>
      </c>
      <c r="V27" s="47">
        <f t="shared" si="27"/>
        <v>3344</v>
      </c>
    </row>
    <row r="28" spans="1:38" s="23" customFormat="1" ht="15.6"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2632896</v>
      </c>
      <c r="N28" s="48">
        <f t="shared" si="26"/>
        <v>74087</v>
      </c>
      <c r="O28" s="48">
        <f t="shared" si="26"/>
        <v>1278404</v>
      </c>
      <c r="P28" s="48">
        <f t="shared" si="26"/>
        <v>4275202</v>
      </c>
      <c r="Q28" s="68">
        <f t="shared" si="22"/>
        <v>34.537894637385776</v>
      </c>
      <c r="R28" s="68">
        <f t="shared" si="23"/>
        <v>1.0595179614581931</v>
      </c>
      <c r="S28" s="64">
        <f t="shared" si="24"/>
        <v>-0.38414699469171276</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8"/>
  <sheetViews>
    <sheetView showGridLines="0" zoomScale="79" zoomScaleNormal="79" workbookViewId="0">
      <selection activeCell="G24" sqref="G24"/>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47</v>
      </c>
      <c r="G6" s="102"/>
      <c r="H6" s="102"/>
      <c r="I6" s="102"/>
      <c r="J6" s="102"/>
      <c r="K6" s="102"/>
      <c r="L6" s="103"/>
      <c r="M6" s="104" t="s">
        <v>49</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59882</v>
      </c>
      <c r="G17" s="69">
        <v>0</v>
      </c>
      <c r="H17" s="69">
        <v>0</v>
      </c>
      <c r="I17" s="69">
        <v>23341</v>
      </c>
      <c r="J17" s="65" t="str">
        <f t="shared" si="0"/>
        <v>n/a</v>
      </c>
      <c r="K17" s="65" t="str">
        <f t="shared" si="8"/>
        <v>n/a</v>
      </c>
      <c r="L17" s="61">
        <f t="shared" ref="L17:L28" si="12">IFERROR(F17/I17-1,"n/a")</f>
        <v>1.5655284692172571</v>
      </c>
      <c r="M17" s="69">
        <f>F17+'Apr-22'!M17</f>
        <v>82178</v>
      </c>
      <c r="N17" s="69">
        <f>G17+'Apr-22'!N17</f>
        <v>0</v>
      </c>
      <c r="O17" s="69">
        <f>H17+'Apr-22'!O17</f>
        <v>1642</v>
      </c>
      <c r="P17" s="69">
        <f>I17+'Apr-22'!P17</f>
        <v>42732</v>
      </c>
      <c r="Q17" s="65" t="str">
        <f t="shared" si="9"/>
        <v>n/a</v>
      </c>
      <c r="R17" s="65">
        <f t="shared" si="10"/>
        <v>49.047503045066989</v>
      </c>
      <c r="S17" s="61">
        <f t="shared" si="11"/>
        <v>0.92310212487129073</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124</v>
      </c>
      <c r="U25" s="71">
        <v>37</v>
      </c>
      <c r="V25" s="71">
        <f>282+81</f>
        <v>363</v>
      </c>
    </row>
    <row r="26" spans="1:38" ht="14.4">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579675</v>
      </c>
      <c r="G28" s="48">
        <f t="shared" si="25"/>
        <v>24481</v>
      </c>
      <c r="H28" s="48">
        <f t="shared" si="25"/>
        <v>0</v>
      </c>
      <c r="I28" s="48">
        <f t="shared" si="25"/>
        <v>841049</v>
      </c>
      <c r="J28" s="68">
        <f t="shared" si="0"/>
        <v>22.678567051999512</v>
      </c>
      <c r="K28" s="68" t="str">
        <f t="shared" si="21"/>
        <v>n/a</v>
      </c>
      <c r="L28" s="64">
        <f t="shared" si="12"/>
        <v>-0.31077142948865044</v>
      </c>
      <c r="M28" s="48">
        <f t="shared" si="26"/>
        <v>1955158</v>
      </c>
      <c r="N28" s="48">
        <f t="shared" si="26"/>
        <v>40586</v>
      </c>
      <c r="O28" s="48">
        <f t="shared" si="26"/>
        <v>1276191</v>
      </c>
      <c r="P28" s="48">
        <f t="shared" si="26"/>
        <v>3422813</v>
      </c>
      <c r="Q28" s="68">
        <f t="shared" si="22"/>
        <v>47.173212437786432</v>
      </c>
      <c r="R28" s="68">
        <f t="shared" si="23"/>
        <v>0.53202616222806776</v>
      </c>
      <c r="S28" s="64">
        <f t="shared" si="24"/>
        <v>-0.42878620596567796</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45</v>
      </c>
      <c r="G6" s="102"/>
      <c r="H6" s="102"/>
      <c r="I6" s="102"/>
      <c r="J6" s="102"/>
      <c r="K6" s="102"/>
      <c r="L6" s="103"/>
      <c r="M6" s="104" t="s">
        <v>46</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124</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48"/>
  <sheetViews>
    <sheetView showGridLines="0" zoomScale="79" zoomScaleNormal="100" workbookViewId="0">
      <selection activeCell="I27" sqref="I27"/>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41</v>
      </c>
      <c r="G6" s="102"/>
      <c r="H6" s="102"/>
      <c r="I6" s="102"/>
      <c r="J6" s="102"/>
      <c r="K6" s="102"/>
      <c r="L6" s="103"/>
      <c r="M6" s="104" t="s">
        <v>43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8"/>
  <sheetViews>
    <sheetView showGridLines="0" zoomScale="79" zoomScaleNormal="100" workbookViewId="0">
      <selection activeCell="I27" sqref="I27"/>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39</v>
      </c>
      <c r="G6" s="102"/>
      <c r="H6" s="102"/>
      <c r="I6" s="102"/>
      <c r="J6" s="102"/>
      <c r="K6" s="102"/>
      <c r="L6" s="103"/>
      <c r="M6" s="104" t="s">
        <v>38</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33</v>
      </c>
      <c r="G6" s="102"/>
      <c r="H6" s="102"/>
      <c r="I6" s="102"/>
      <c r="J6" s="102"/>
      <c r="K6" s="102"/>
      <c r="L6" s="103"/>
      <c r="M6" s="104" t="s">
        <v>33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8"/>
  <sheetViews>
    <sheetView showGridLines="0" zoomScale="79" zoomScaleNormal="79" workbookViewId="0">
      <selection activeCell="H26" sqref="H26"/>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31</v>
      </c>
      <c r="G6" s="106"/>
      <c r="H6" s="106"/>
      <c r="I6" s="107"/>
      <c r="J6" s="108"/>
      <c r="K6" s="104" t="s">
        <v>32</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1059</v>
      </c>
      <c r="L27" s="47">
        <f t="shared" si="2"/>
        <v>667</v>
      </c>
      <c r="M27" s="47">
        <f>M10+M13+M16+M19+M22+M25</f>
        <v>3344</v>
      </c>
      <c r="N27" s="67">
        <f>K27/L27-1</f>
        <v>0.58770614692653678</v>
      </c>
      <c r="O27" s="63">
        <f>K27/M27-1</f>
        <v>-0.68331339712918659</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48"/>
  <sheetViews>
    <sheetView showGridLines="0" zoomScale="79" zoomScaleNormal="100" workbookViewId="0">
      <selection activeCell="F10" sqref="F10:H26"/>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27</v>
      </c>
      <c r="G6" s="106"/>
      <c r="H6" s="106"/>
      <c r="I6" s="107"/>
      <c r="J6" s="108"/>
      <c r="K6" s="104" t="s">
        <v>28</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48"/>
  <sheetViews>
    <sheetView showGridLines="0" zoomScale="79" zoomScaleNormal="79" workbookViewId="0">
      <selection activeCell="K8" sqref="K8:M8"/>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24</v>
      </c>
      <c r="G6" s="106"/>
      <c r="H6" s="106"/>
      <c r="I6" s="107"/>
      <c r="J6" s="108"/>
      <c r="K6" s="104" t="s">
        <v>8</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48"/>
  <sheetViews>
    <sheetView zoomScale="79" zoomScaleNormal="79" workbookViewId="0">
      <selection activeCell="K10" sqref="K10:M28"/>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22</v>
      </c>
      <c r="G6" s="106"/>
      <c r="H6" s="106"/>
      <c r="I6" s="107"/>
      <c r="J6" s="108"/>
      <c r="K6" s="104" t="s">
        <v>23</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747EAB-526E-4472-B45C-6952D0E46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schemas.microsoft.com/office/infopath/2007/PartnerControls"/>
    <ds:schemaRef ds:uri="50acc271-0769-44fa-a07c-5c2dfce6e462"/>
    <ds:schemaRef ds:uri="http://www.w3.org/XML/1998/namespace"/>
    <ds:schemaRef ds:uri="http://purl.org/dc/elements/1.1/"/>
    <ds:schemaRef ds:uri="http://schemas.openxmlformats.org/package/2006/metadata/core-properties"/>
    <ds:schemaRef ds:uri="8cd7474e-1d48-42f1-a929-9fa835c241d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 </vt:lpstr>
      <vt:lpstr>Disclaimer</vt:lpstr>
      <vt:lpstr>Notes</vt:lpstr>
      <vt:lpstr>Occupancy_2022</vt:lpstr>
      <vt:lpstr>Traffic&gt;</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Guzel Karasu</cp:lastModifiedBy>
  <cp:lastPrinted>2022-08-04T14:43:41Z</cp:lastPrinted>
  <dcterms:created xsi:type="dcterms:W3CDTF">2021-12-10T09:13:50Z</dcterms:created>
  <dcterms:modified xsi:type="dcterms:W3CDTF">2022-12-13T08:10:30Z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