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https://gyholding.sharepoint.com/sites/Finance/Shared Documents/General/2022/KPI/11-November/"/>
    </mc:Choice>
  </mc:AlternateContent>
  <xr:revisionPtr revIDLastSave="256" documentId="8_{20DF0330-ADAB-4D38-874D-40FE56699DF6}" xr6:coauthVersionLast="47" xr6:coauthVersionMax="47" xr10:uidLastSave="{2AE377B3-3A5A-46A4-8A83-1FB9341B9A2C}"/>
  <bookViews>
    <workbookView xWindow="-108" yWindow="-108" windowWidth="23256" windowHeight="12696" activeTab="1" xr2:uid="{00000000-000D-0000-FFFF-FFFF00000000}"/>
  </bookViews>
  <sheets>
    <sheet name=" " sheetId="3" r:id="rId1"/>
    <sheet name="Disclaimer" sheetId="13" r:id="rId2"/>
    <sheet name="Notes" sheetId="11" r:id="rId3"/>
    <sheet name="Occupancy_2022" sheetId="24" r:id="rId4"/>
    <sheet name="Traffic&gt;" sheetId="25" r:id="rId5"/>
    <sheet name="Nov-22" sheetId="28" r:id="rId6"/>
    <sheet name="Oct-22" sheetId="27" r:id="rId7"/>
    <sheet name="Sep-22" sheetId="26" r:id="rId8"/>
    <sheet name="Aug-22" sheetId="22" r:id="rId9"/>
    <sheet name="Jul-22" sheetId="21" r:id="rId10"/>
    <sheet name="Jun-22" sheetId="20" r:id="rId11"/>
    <sheet name="May-22" sheetId="19" r:id="rId12"/>
    <sheet name="Apr-22" sheetId="18" r:id="rId13"/>
    <sheet name="Mar-22" sheetId="17" r:id="rId14"/>
    <sheet name="Feb-22" sheetId="16" r:id="rId15"/>
    <sheet name="Jan-22" sheetId="15" r:id="rId16"/>
    <sheet name="Dec-21" sheetId="14" r:id="rId17"/>
    <sheet name="Nov-21" sheetId="10" r:id="rId18"/>
    <sheet name="Oct-21" sheetId="9" r:id="rId19"/>
    <sheet name="Sept-21" sheetId="1" r:id="rId20"/>
  </sheets>
  <externalReferences>
    <externalReference r:id="rId21"/>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Notes!$A$1:$CA$35</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12" hidden="1">'Apr-22'!$X:$XFD</definedName>
    <definedName name="Z_5F6D01E3_9E6F_4D7F_980F_63899AF95899_.wvu.Cols" localSheetId="8" hidden="1">'Aug-22'!$X:$XFD</definedName>
    <definedName name="Z_5F6D01E3_9E6F_4D7F_980F_63899AF95899_.wvu.Cols" localSheetId="16" hidden="1">'Dec-21'!$S:$XFD</definedName>
    <definedName name="Z_5F6D01E3_9E6F_4D7F_980F_63899AF95899_.wvu.Cols" localSheetId="1" hidden="1">Disclaimer!$X:$XFD</definedName>
    <definedName name="Z_5F6D01E3_9E6F_4D7F_980F_63899AF95899_.wvu.Cols" localSheetId="14" hidden="1">'Feb-22'!$X:$XFD</definedName>
    <definedName name="Z_5F6D01E3_9E6F_4D7F_980F_63899AF95899_.wvu.Cols" localSheetId="15" hidden="1">'Jan-22'!$X:$XFD</definedName>
    <definedName name="Z_5F6D01E3_9E6F_4D7F_980F_63899AF95899_.wvu.Cols" localSheetId="9" hidden="1">'Jul-22'!$X:$XFD</definedName>
    <definedName name="Z_5F6D01E3_9E6F_4D7F_980F_63899AF95899_.wvu.Cols" localSheetId="10" hidden="1">'Jun-22'!$X:$XFD</definedName>
    <definedName name="Z_5F6D01E3_9E6F_4D7F_980F_63899AF95899_.wvu.Cols" localSheetId="13" hidden="1">'Mar-22'!$X:$XFD</definedName>
    <definedName name="Z_5F6D01E3_9E6F_4D7F_980F_63899AF95899_.wvu.Cols" localSheetId="11" hidden="1">'May-22'!$X:$XFD</definedName>
    <definedName name="Z_5F6D01E3_9E6F_4D7F_980F_63899AF95899_.wvu.Cols" localSheetId="2" hidden="1">Notes!$S:$XFD</definedName>
    <definedName name="Z_5F6D01E3_9E6F_4D7F_980F_63899AF95899_.wvu.Cols" localSheetId="17" hidden="1">'Nov-21'!$S:$XFD</definedName>
    <definedName name="Z_5F6D01E3_9E6F_4D7F_980F_63899AF95899_.wvu.Cols" localSheetId="5" hidden="1">'Nov-22'!$X:$XFD</definedName>
    <definedName name="Z_5F6D01E3_9E6F_4D7F_980F_63899AF95899_.wvu.Cols" localSheetId="3" hidden="1">Occupancy_2022!$U:$XFD</definedName>
    <definedName name="Z_5F6D01E3_9E6F_4D7F_980F_63899AF95899_.wvu.Cols" localSheetId="18" hidden="1">'Oct-21'!$S:$XFD</definedName>
    <definedName name="Z_5F6D01E3_9E6F_4D7F_980F_63899AF95899_.wvu.Cols" localSheetId="6" hidden="1">'Oct-22'!$X:$XFD</definedName>
    <definedName name="Z_5F6D01E3_9E6F_4D7F_980F_63899AF95899_.wvu.Cols" localSheetId="7" hidden="1">'Sep-22'!$X:$XFD</definedName>
    <definedName name="Z_5F6D01E3_9E6F_4D7F_980F_63899AF95899_.wvu.Cols" localSheetId="19"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12" hidden="1">'Apr-22'!$49:$1048576,'Apr-22'!$30:$48</definedName>
    <definedName name="Z_5F6D01E3_9E6F_4D7F_980F_63899AF95899_.wvu.Rows" localSheetId="16" hidden="1">'Dec-21'!$49:$1048576,'Dec-21'!$30:$48</definedName>
    <definedName name="Z_5F6D01E3_9E6F_4D7F_980F_63899AF95899_.wvu.Rows" localSheetId="1" hidden="1">Disclaimer!$45:$1048576,Disclaimer!$30:$44</definedName>
    <definedName name="Z_5F6D01E3_9E6F_4D7F_980F_63899AF95899_.wvu.Rows" localSheetId="14" hidden="1">'Feb-22'!$49:$1048576,'Feb-22'!$30:$48</definedName>
    <definedName name="Z_5F6D01E3_9E6F_4D7F_980F_63899AF95899_.wvu.Rows" localSheetId="15" hidden="1">'Jan-22'!$49:$1048576,'Jan-22'!$30:$48</definedName>
    <definedName name="Z_5F6D01E3_9E6F_4D7F_980F_63899AF95899_.wvu.Rows" localSheetId="10" hidden="1">'Jun-22'!$49:$1048576,'Jun-22'!$30:$48</definedName>
    <definedName name="Z_5F6D01E3_9E6F_4D7F_980F_63899AF95899_.wvu.Rows" localSheetId="13" hidden="1">'Mar-22'!$49:$1048576,'Mar-22'!$30:$48</definedName>
    <definedName name="Z_5F6D01E3_9E6F_4D7F_980F_63899AF95899_.wvu.Rows" localSheetId="11" hidden="1">'May-22'!$49:$1048576,'May-22'!$30:$48</definedName>
    <definedName name="Z_5F6D01E3_9E6F_4D7F_980F_63899AF95899_.wvu.Rows" localSheetId="2" hidden="1">Notes!$45:$1048576,Notes!$27:$44</definedName>
    <definedName name="Z_5F6D01E3_9E6F_4D7F_980F_63899AF95899_.wvu.Rows" localSheetId="17" hidden="1">'Nov-21'!$49:$1048576,'Nov-21'!$30:$48</definedName>
    <definedName name="Z_5F6D01E3_9E6F_4D7F_980F_63899AF95899_.wvu.Rows" localSheetId="18" hidden="1">'Oct-21'!$49:$1048576,'Oct-21'!$30:$48</definedName>
    <definedName name="Z_5F6D01E3_9E6F_4D7F_980F_63899AF95899_.wvu.Rows" localSheetId="19" hidden="1">'Sept-21'!$49:$1048576,'Sept-21'!$30:$48</definedName>
    <definedName name="Z_5F6D01E3_9E6F_4D7F_980F_63899AF95899_.wvu.Rows" localSheetId="4" hidden="1">'Traffic&gt;'!$45:$1048576,'Traffic&gt;'!$27:$44</definedName>
  </definedNames>
  <calcPr calcId="191029"/>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27" l="1"/>
  <c r="G30" i="28"/>
  <c r="F20" i="28" l="1"/>
  <c r="F29" i="28"/>
  <c r="U58" i="28"/>
  <c r="T58" i="28"/>
  <c r="V57" i="28"/>
  <c r="U57" i="28"/>
  <c r="T57" i="28"/>
  <c r="T31" i="28"/>
  <c r="I31" i="28"/>
  <c r="H31" i="28"/>
  <c r="G31" i="28"/>
  <c r="F31" i="28"/>
  <c r="U30" i="28"/>
  <c r="T30" i="28"/>
  <c r="I30" i="28"/>
  <c r="H30" i="28"/>
  <c r="F30" i="28"/>
  <c r="V58" i="27"/>
  <c r="U58" i="27"/>
  <c r="T58" i="27"/>
  <c r="P58" i="27"/>
  <c r="O58" i="27"/>
  <c r="N58" i="27"/>
  <c r="I58" i="27"/>
  <c r="H58" i="27"/>
  <c r="G58" i="27"/>
  <c r="V57" i="27"/>
  <c r="U57" i="27"/>
  <c r="T57" i="27"/>
  <c r="P57" i="27"/>
  <c r="O57" i="27"/>
  <c r="N57" i="27"/>
  <c r="I57" i="27"/>
  <c r="H57" i="27"/>
  <c r="G57" i="27"/>
  <c r="V31" i="27"/>
  <c r="U31" i="27"/>
  <c r="T31" i="27"/>
  <c r="P31" i="27"/>
  <c r="O31" i="27"/>
  <c r="N31" i="27"/>
  <c r="I31" i="27"/>
  <c r="H31" i="27"/>
  <c r="G31" i="27"/>
  <c r="V30" i="27"/>
  <c r="U30" i="27"/>
  <c r="T30" i="27"/>
  <c r="P30" i="27"/>
  <c r="O30" i="27"/>
  <c r="N30" i="27"/>
  <c r="I30" i="27"/>
  <c r="H30" i="27"/>
  <c r="G30" i="27"/>
  <c r="F31" i="27"/>
  <c r="F30" i="27"/>
  <c r="V56" i="28" l="1"/>
  <c r="I56" i="28"/>
  <c r="H56" i="28"/>
  <c r="G56" i="28"/>
  <c r="F56" i="28"/>
  <c r="I55" i="28"/>
  <c r="H55" i="28"/>
  <c r="G55" i="28"/>
  <c r="F55" i="28"/>
  <c r="I53" i="28"/>
  <c r="H53" i="28"/>
  <c r="G53" i="28"/>
  <c r="F53" i="28"/>
  <c r="I52" i="28"/>
  <c r="H52" i="28"/>
  <c r="G52" i="28"/>
  <c r="F52" i="28"/>
  <c r="I50" i="28"/>
  <c r="H50" i="28"/>
  <c r="G50" i="28"/>
  <c r="F50" i="28"/>
  <c r="I49" i="28"/>
  <c r="H49" i="28"/>
  <c r="G49" i="28"/>
  <c r="F49" i="28"/>
  <c r="V47" i="28"/>
  <c r="V58" i="28" s="1"/>
  <c r="I47" i="28"/>
  <c r="H47" i="28"/>
  <c r="G47" i="28"/>
  <c r="I46" i="28"/>
  <c r="H46" i="28"/>
  <c r="G46" i="28"/>
  <c r="F46" i="28"/>
  <c r="I44" i="28"/>
  <c r="H44" i="28"/>
  <c r="G44" i="28"/>
  <c r="F44" i="28"/>
  <c r="I43" i="28"/>
  <c r="H43" i="28"/>
  <c r="G43" i="28"/>
  <c r="F43" i="28"/>
  <c r="I41" i="28"/>
  <c r="I58" i="28" s="1"/>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58" i="27" s="1"/>
  <c r="F26" i="19"/>
  <c r="F26" i="20"/>
  <c r="F29" i="22"/>
  <c r="F20" i="22"/>
  <c r="F20" i="27"/>
  <c r="P29" i="27"/>
  <c r="P29" i="28" s="1"/>
  <c r="P56" i="28" s="1"/>
  <c r="O29" i="27"/>
  <c r="O29" i="28" s="1"/>
  <c r="O56" i="28" s="1"/>
  <c r="N29" i="27"/>
  <c r="N29" i="28" s="1"/>
  <c r="N56" i="28" s="1"/>
  <c r="P28" i="27"/>
  <c r="P28" i="28" s="1"/>
  <c r="P55" i="28" s="1"/>
  <c r="O28" i="27"/>
  <c r="O55" i="27" s="1"/>
  <c r="N28" i="27"/>
  <c r="N28" i="28" s="1"/>
  <c r="N55" i="28" s="1"/>
  <c r="M28" i="27"/>
  <c r="P26" i="27"/>
  <c r="P26" i="28" s="1"/>
  <c r="P53" i="28" s="1"/>
  <c r="O26" i="27"/>
  <c r="O53" i="27" s="1"/>
  <c r="N26" i="27"/>
  <c r="N26" i="28" s="1"/>
  <c r="N53" i="28" s="1"/>
  <c r="M26" i="27"/>
  <c r="M53" i="27" s="1"/>
  <c r="P25" i="27"/>
  <c r="P25" i="28" s="1"/>
  <c r="P52" i="28" s="1"/>
  <c r="O25" i="27"/>
  <c r="O52" i="27" s="1"/>
  <c r="N25" i="27"/>
  <c r="N52" i="27" s="1"/>
  <c r="M25" i="27"/>
  <c r="P23" i="27"/>
  <c r="P23" i="28" s="1"/>
  <c r="P50" i="28" s="1"/>
  <c r="O23" i="27"/>
  <c r="O50" i="27" s="1"/>
  <c r="N23" i="27"/>
  <c r="N23" i="28" s="1"/>
  <c r="N50" i="28" s="1"/>
  <c r="M23" i="27"/>
  <c r="M50" i="27" s="1"/>
  <c r="P22" i="27"/>
  <c r="P22" i="28" s="1"/>
  <c r="P49" i="28" s="1"/>
  <c r="O22" i="27"/>
  <c r="O49" i="27" s="1"/>
  <c r="N22" i="27"/>
  <c r="N22" i="28" s="1"/>
  <c r="N49" i="28" s="1"/>
  <c r="M22" i="27"/>
  <c r="M49" i="27" s="1"/>
  <c r="P20" i="27"/>
  <c r="P20" i="28" s="1"/>
  <c r="P47" i="28" s="1"/>
  <c r="O20" i="27"/>
  <c r="O47" i="27" s="1"/>
  <c r="N20" i="27"/>
  <c r="N20" i="28" s="1"/>
  <c r="N47" i="28" s="1"/>
  <c r="P19" i="27"/>
  <c r="P19" i="28" s="1"/>
  <c r="P46" i="28" s="1"/>
  <c r="O19" i="27"/>
  <c r="O46" i="27" s="1"/>
  <c r="N19" i="27"/>
  <c r="N19" i="28" s="1"/>
  <c r="N46" i="28" s="1"/>
  <c r="P17" i="27"/>
  <c r="P17" i="28" s="1"/>
  <c r="O17" i="27"/>
  <c r="O44" i="27" s="1"/>
  <c r="N17" i="27"/>
  <c r="N17" i="28" s="1"/>
  <c r="M17" i="27"/>
  <c r="M17" i="28" s="1"/>
  <c r="M44" i="28" s="1"/>
  <c r="P16" i="27"/>
  <c r="P16" i="28" s="1"/>
  <c r="P43" i="28" s="1"/>
  <c r="O16" i="27"/>
  <c r="O16" i="28" s="1"/>
  <c r="O43" i="28" s="1"/>
  <c r="N16" i="27"/>
  <c r="N43" i="27" s="1"/>
  <c r="M16" i="27"/>
  <c r="Q16" i="27" s="1"/>
  <c r="P14" i="27"/>
  <c r="O14" i="27"/>
  <c r="N14" i="27"/>
  <c r="M14" i="27"/>
  <c r="Q14" i="27" s="1"/>
  <c r="P13" i="27"/>
  <c r="O13" i="27"/>
  <c r="N13" i="27"/>
  <c r="M13" i="27"/>
  <c r="S13" i="27" s="1"/>
  <c r="V56" i="27"/>
  <c r="O56" i="27"/>
  <c r="I56" i="27"/>
  <c r="H56" i="27"/>
  <c r="G56" i="27"/>
  <c r="I55" i="27"/>
  <c r="H55" i="27"/>
  <c r="G55" i="27"/>
  <c r="F55" i="27"/>
  <c r="I53" i="27"/>
  <c r="H53" i="27"/>
  <c r="G53" i="27"/>
  <c r="F53" i="27"/>
  <c r="I52" i="27"/>
  <c r="H52" i="27"/>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U29" i="27"/>
  <c r="V28" i="27"/>
  <c r="P55" i="27"/>
  <c r="N55" i="27"/>
  <c r="L28" i="27"/>
  <c r="K28" i="27"/>
  <c r="J28" i="27"/>
  <c r="P53" i="27"/>
  <c r="N53" i="27"/>
  <c r="L26" i="27"/>
  <c r="K26" i="27"/>
  <c r="J26" i="27"/>
  <c r="P52" i="27"/>
  <c r="L25" i="27"/>
  <c r="K25" i="27"/>
  <c r="J25" i="27"/>
  <c r="P50" i="27"/>
  <c r="N50" i="27"/>
  <c r="L23" i="27"/>
  <c r="K23" i="27"/>
  <c r="J23" i="27"/>
  <c r="P49" i="27"/>
  <c r="N49" i="27"/>
  <c r="L22" i="27"/>
  <c r="K22" i="27"/>
  <c r="J22" i="27"/>
  <c r="P47" i="27"/>
  <c r="N47" i="27"/>
  <c r="L19" i="27"/>
  <c r="K19" i="27"/>
  <c r="J19" i="27"/>
  <c r="P44" i="27"/>
  <c r="L17" i="27"/>
  <c r="K17" i="27"/>
  <c r="J17" i="27"/>
  <c r="L16" i="27"/>
  <c r="K16" i="27"/>
  <c r="J16" i="27"/>
  <c r="N41" i="27"/>
  <c r="L14" i="27"/>
  <c r="K14" i="27"/>
  <c r="J14" i="27"/>
  <c r="P40" i="27"/>
  <c r="N40" i="27"/>
  <c r="L13" i="27"/>
  <c r="K13" i="27"/>
  <c r="J13" i="27"/>
  <c r="F20" i="26"/>
  <c r="F29" i="26"/>
  <c r="L46" i="27" l="1"/>
  <c r="F57" i="27"/>
  <c r="F58" i="28"/>
  <c r="G57" i="28"/>
  <c r="G58" i="28"/>
  <c r="H58" i="28"/>
  <c r="L43" i="28"/>
  <c r="K46" i="28"/>
  <c r="K49" i="28"/>
  <c r="K52" i="28"/>
  <c r="J49" i="27"/>
  <c r="J44" i="27"/>
  <c r="N13" i="28"/>
  <c r="N40" i="28" s="1"/>
  <c r="P13" i="28"/>
  <c r="P30" i="28" s="1"/>
  <c r="O40" i="27"/>
  <c r="N16" i="28"/>
  <c r="N43" i="28" s="1"/>
  <c r="N14" i="28"/>
  <c r="N31" i="28" s="1"/>
  <c r="J20" i="27"/>
  <c r="O25" i="28"/>
  <c r="O52" i="28" s="1"/>
  <c r="O14" i="28"/>
  <c r="S25" i="27"/>
  <c r="P14" i="28"/>
  <c r="P31" i="28" s="1"/>
  <c r="J55" i="27"/>
  <c r="M55" i="27"/>
  <c r="S55" i="27" s="1"/>
  <c r="K53" i="27"/>
  <c r="N46" i="27"/>
  <c r="K44" i="27"/>
  <c r="M16" i="28"/>
  <c r="M43" i="28" s="1"/>
  <c r="N25" i="28"/>
  <c r="N52" i="28" s="1"/>
  <c r="O19" i="28"/>
  <c r="O46" i="28" s="1"/>
  <c r="O28" i="28"/>
  <c r="O55" i="28" s="1"/>
  <c r="M13" i="28"/>
  <c r="M40" i="28" s="1"/>
  <c r="O22" i="28"/>
  <c r="O49" i="28" s="1"/>
  <c r="P40" i="28"/>
  <c r="P57" i="28" s="1"/>
  <c r="O41" i="27"/>
  <c r="P46" i="27"/>
  <c r="Q26" i="27"/>
  <c r="N56" i="27"/>
  <c r="L43" i="27"/>
  <c r="O13" i="28"/>
  <c r="P41" i="27"/>
  <c r="M44" i="27"/>
  <c r="S26" i="27"/>
  <c r="P56" i="27"/>
  <c r="S14" i="27"/>
  <c r="N44" i="27"/>
  <c r="L52" i="27"/>
  <c r="M14" i="28"/>
  <c r="M23" i="28"/>
  <c r="M50" i="28" s="1"/>
  <c r="S50" i="28" s="1"/>
  <c r="M26" i="28"/>
  <c r="Q26" i="28" s="1"/>
  <c r="K30" i="27"/>
  <c r="K41" i="27"/>
  <c r="O17" i="28"/>
  <c r="O44" i="28" s="1"/>
  <c r="R44" i="28" s="1"/>
  <c r="O20" i="28"/>
  <c r="O47" i="28" s="1"/>
  <c r="O23" i="28"/>
  <c r="O50" i="28" s="1"/>
  <c r="O26" i="28"/>
  <c r="O53" i="28" s="1"/>
  <c r="M22" i="28"/>
  <c r="S22" i="28" s="1"/>
  <c r="M25" i="28"/>
  <c r="S25" i="28" s="1"/>
  <c r="M28" i="28"/>
  <c r="S28" i="28" s="1"/>
  <c r="S17" i="28"/>
  <c r="L55" i="28"/>
  <c r="L53" i="28"/>
  <c r="L56" i="28"/>
  <c r="L30" i="28"/>
  <c r="J40" i="28"/>
  <c r="Q17" i="28"/>
  <c r="J41" i="28"/>
  <c r="L44" i="28"/>
  <c r="J46" i="28"/>
  <c r="J53" i="28"/>
  <c r="K53" i="28"/>
  <c r="L46" i="28"/>
  <c r="N44" i="28"/>
  <c r="K41" i="28"/>
  <c r="K44" i="28"/>
  <c r="L49" i="28"/>
  <c r="L52" i="28"/>
  <c r="K55" i="28"/>
  <c r="L41" i="28"/>
  <c r="L50" i="28"/>
  <c r="K30" i="28"/>
  <c r="K40" i="28"/>
  <c r="S16" i="28"/>
  <c r="S43" i="28"/>
  <c r="J47" i="28"/>
  <c r="L47" i="28"/>
  <c r="K47" i="28"/>
  <c r="J52" i="28"/>
  <c r="P44" i="28"/>
  <c r="L40" i="28"/>
  <c r="J44" i="28"/>
  <c r="J50" i="28"/>
  <c r="J56" i="28"/>
  <c r="J43" i="28"/>
  <c r="R43" i="28"/>
  <c r="K50" i="28"/>
  <c r="K56" i="28"/>
  <c r="J29" i="28"/>
  <c r="J30" i="28"/>
  <c r="K43" i="28"/>
  <c r="J49" i="28"/>
  <c r="J55" i="28"/>
  <c r="K29" i="27"/>
  <c r="L56" i="27"/>
  <c r="J29" i="27"/>
  <c r="L29" i="27"/>
  <c r="R26" i="27"/>
  <c r="J53" i="27"/>
  <c r="L57" i="27"/>
  <c r="M41" i="27"/>
  <c r="Q41" i="27" s="1"/>
  <c r="J30" i="27"/>
  <c r="L30" i="27"/>
  <c r="S16" i="27"/>
  <c r="L44" i="27"/>
  <c r="L55" i="27"/>
  <c r="Q28" i="27"/>
  <c r="K40" i="27"/>
  <c r="Q22" i="27"/>
  <c r="M43" i="27"/>
  <c r="Q43" i="27" s="1"/>
  <c r="K46" i="27"/>
  <c r="L53" i="27"/>
  <c r="S22" i="27"/>
  <c r="R14" i="27"/>
  <c r="J46" i="27"/>
  <c r="L49" i="27"/>
  <c r="R13" i="27"/>
  <c r="J40" i="27"/>
  <c r="K56" i="27"/>
  <c r="K50" i="27"/>
  <c r="K55" i="27"/>
  <c r="L41" i="27"/>
  <c r="J41" i="27"/>
  <c r="K49" i="27"/>
  <c r="R16" i="27"/>
  <c r="R25" i="27"/>
  <c r="S50" i="27"/>
  <c r="R50" i="27"/>
  <c r="Q50" i="27"/>
  <c r="S49" i="27"/>
  <c r="S44" i="27"/>
  <c r="R44" i="27"/>
  <c r="R53" i="27"/>
  <c r="Q53" i="27"/>
  <c r="S53" i="27"/>
  <c r="K20" i="27"/>
  <c r="R22" i="27"/>
  <c r="O43" i="27"/>
  <c r="J52" i="27"/>
  <c r="Q17" i="27"/>
  <c r="L20" i="27"/>
  <c r="R28" i="27"/>
  <c r="R17" i="27"/>
  <c r="Q23" i="27"/>
  <c r="S28" i="27"/>
  <c r="L40" i="27"/>
  <c r="P43" i="27"/>
  <c r="F47" i="27"/>
  <c r="K52" i="27"/>
  <c r="Q13" i="27"/>
  <c r="S17" i="27"/>
  <c r="R23" i="27"/>
  <c r="M40" i="27"/>
  <c r="J50" i="27"/>
  <c r="J56" i="27"/>
  <c r="S23" i="27"/>
  <c r="Q25" i="27"/>
  <c r="J43" i="27"/>
  <c r="Q49" i="27"/>
  <c r="M52" i="27"/>
  <c r="K43" i="27"/>
  <c r="R49" i="27"/>
  <c r="P29" i="26"/>
  <c r="O29" i="26"/>
  <c r="O56" i="26" s="1"/>
  <c r="N29" i="26"/>
  <c r="N56" i="26" s="1"/>
  <c r="P28" i="26"/>
  <c r="O28" i="26"/>
  <c r="N28" i="26"/>
  <c r="N55" i="26" s="1"/>
  <c r="M28" i="26"/>
  <c r="Q28" i="26" s="1"/>
  <c r="P26" i="26"/>
  <c r="O26" i="26"/>
  <c r="O53" i="26" s="1"/>
  <c r="N26" i="26"/>
  <c r="M26" i="26"/>
  <c r="P25" i="26"/>
  <c r="O25" i="26"/>
  <c r="O52" i="26" s="1"/>
  <c r="N25" i="26"/>
  <c r="M25" i="26"/>
  <c r="M52" i="26" s="1"/>
  <c r="P23" i="26"/>
  <c r="O23" i="26"/>
  <c r="O50" i="26" s="1"/>
  <c r="N23" i="26"/>
  <c r="N50" i="26" s="1"/>
  <c r="M23" i="26"/>
  <c r="M50" i="26" s="1"/>
  <c r="P22" i="26"/>
  <c r="O22" i="26"/>
  <c r="N22" i="26"/>
  <c r="N49" i="26" s="1"/>
  <c r="M22" i="26"/>
  <c r="M49" i="26" s="1"/>
  <c r="P20" i="26"/>
  <c r="O20" i="26"/>
  <c r="O47" i="26" s="1"/>
  <c r="N20" i="26"/>
  <c r="P19" i="26"/>
  <c r="O19" i="26"/>
  <c r="N19" i="26"/>
  <c r="N46" i="26" s="1"/>
  <c r="P17" i="26"/>
  <c r="O17" i="26"/>
  <c r="O44" i="26" s="1"/>
  <c r="N17" i="26"/>
  <c r="N44" i="26" s="1"/>
  <c r="M17" i="26"/>
  <c r="M44" i="26" s="1"/>
  <c r="P16" i="26"/>
  <c r="O16" i="26"/>
  <c r="N16" i="26"/>
  <c r="N43" i="26" s="1"/>
  <c r="M16" i="26"/>
  <c r="M43" i="26" s="1"/>
  <c r="P14" i="26"/>
  <c r="O14" i="26"/>
  <c r="O41" i="26" s="1"/>
  <c r="N14" i="26"/>
  <c r="M14" i="26"/>
  <c r="P13" i="26"/>
  <c r="O13" i="26"/>
  <c r="N13" i="26"/>
  <c r="N40" i="26" s="1"/>
  <c r="M13" i="26"/>
  <c r="M40" i="26" s="1"/>
  <c r="U58" i="26"/>
  <c r="T58" i="26"/>
  <c r="V57" i="26"/>
  <c r="U57" i="26"/>
  <c r="T57" i="26"/>
  <c r="V56" i="26"/>
  <c r="H56" i="26"/>
  <c r="G56" i="26"/>
  <c r="I55" i="26"/>
  <c r="H55" i="26"/>
  <c r="G55" i="26"/>
  <c r="F55" i="26"/>
  <c r="P53" i="26"/>
  <c r="I53" i="26"/>
  <c r="H53" i="26"/>
  <c r="G53" i="26"/>
  <c r="F53" i="26"/>
  <c r="I52" i="26"/>
  <c r="H52" i="26"/>
  <c r="G52" i="26"/>
  <c r="F52" i="26"/>
  <c r="I50" i="26"/>
  <c r="H50" i="26"/>
  <c r="G50" i="26"/>
  <c r="F50" i="26"/>
  <c r="I49" i="26"/>
  <c r="H49" i="26"/>
  <c r="G49" i="26"/>
  <c r="F49" i="26"/>
  <c r="V47" i="26"/>
  <c r="V58" i="26" s="1"/>
  <c r="H47" i="26"/>
  <c r="G47" i="26"/>
  <c r="O46" i="26"/>
  <c r="I46" i="26"/>
  <c r="H46" i="26"/>
  <c r="G46" i="26"/>
  <c r="F46" i="26"/>
  <c r="L46" i="26" s="1"/>
  <c r="P44" i="26"/>
  <c r="I44" i="26"/>
  <c r="H44" i="26"/>
  <c r="G44" i="26"/>
  <c r="F44" i="26"/>
  <c r="I43" i="26"/>
  <c r="H43" i="26"/>
  <c r="G43" i="26"/>
  <c r="F43" i="26"/>
  <c r="I41" i="26"/>
  <c r="H41" i="26"/>
  <c r="G41" i="26"/>
  <c r="F41" i="26"/>
  <c r="O40" i="26"/>
  <c r="I40" i="26"/>
  <c r="H40" i="26"/>
  <c r="G40" i="26"/>
  <c r="G57" i="26" s="1"/>
  <c r="F40" i="26"/>
  <c r="F36" i="26"/>
  <c r="U31" i="26"/>
  <c r="T31" i="26"/>
  <c r="H31" i="26"/>
  <c r="G31" i="26"/>
  <c r="U30" i="26"/>
  <c r="T30" i="26"/>
  <c r="I30" i="26"/>
  <c r="H30" i="26"/>
  <c r="G30" i="26"/>
  <c r="F30" i="26"/>
  <c r="V29" i="26"/>
  <c r="V31" i="26" s="1"/>
  <c r="U29" i="26"/>
  <c r="P56" i="26"/>
  <c r="K29" i="26"/>
  <c r="J29" i="26"/>
  <c r="I56" i="26"/>
  <c r="F56" i="26"/>
  <c r="V28" i="26"/>
  <c r="V30" i="26" s="1"/>
  <c r="P55" i="26"/>
  <c r="O55" i="26"/>
  <c r="L28" i="26"/>
  <c r="K28" i="26"/>
  <c r="J28" i="26"/>
  <c r="N53" i="26"/>
  <c r="S26" i="26"/>
  <c r="L26" i="26"/>
  <c r="K26" i="26"/>
  <c r="J26" i="26"/>
  <c r="P52" i="26"/>
  <c r="N52" i="26"/>
  <c r="L25" i="26"/>
  <c r="K25" i="26"/>
  <c r="J25" i="26"/>
  <c r="P50" i="26"/>
  <c r="L23" i="26"/>
  <c r="K23" i="26"/>
  <c r="J23" i="26"/>
  <c r="P49" i="26"/>
  <c r="O49" i="26"/>
  <c r="L22" i="26"/>
  <c r="K22" i="26"/>
  <c r="J22" i="26"/>
  <c r="L20" i="26"/>
  <c r="J20" i="26"/>
  <c r="I47" i="26"/>
  <c r="K20" i="26"/>
  <c r="P46" i="26"/>
  <c r="L19" i="26"/>
  <c r="K19" i="26"/>
  <c r="J19" i="26"/>
  <c r="L17" i="26"/>
  <c r="K17" i="26"/>
  <c r="J17" i="26"/>
  <c r="P43" i="26"/>
  <c r="O43" i="26"/>
  <c r="L16" i="26"/>
  <c r="K16" i="26"/>
  <c r="J16" i="26"/>
  <c r="S14" i="26"/>
  <c r="P41" i="26"/>
  <c r="Q14" i="26"/>
  <c r="L14" i="26"/>
  <c r="K14" i="26"/>
  <c r="J14" i="26"/>
  <c r="P40" i="26"/>
  <c r="O30" i="26"/>
  <c r="L13" i="26"/>
  <c r="K13" i="26"/>
  <c r="J13" i="26"/>
  <c r="S3" i="24"/>
  <c r="R55" i="27" l="1"/>
  <c r="N57" i="28"/>
  <c r="O40" i="28"/>
  <c r="O57" i="28" s="1"/>
  <c r="O30" i="28"/>
  <c r="N41" i="28"/>
  <c r="N58" i="28" s="1"/>
  <c r="Q13" i="28"/>
  <c r="M49" i="28"/>
  <c r="S49" i="28" s="1"/>
  <c r="N30" i="28"/>
  <c r="O41" i="28"/>
  <c r="O58" i="28" s="1"/>
  <c r="O31" i="28"/>
  <c r="S13" i="28"/>
  <c r="Q43" i="28"/>
  <c r="M52" i="28"/>
  <c r="Q52" i="28" s="1"/>
  <c r="Q16" i="28"/>
  <c r="R50" i="28"/>
  <c r="Q50" i="28"/>
  <c r="S23" i="28"/>
  <c r="R13" i="28"/>
  <c r="R16" i="28"/>
  <c r="R22" i="28"/>
  <c r="P41" i="28"/>
  <c r="P58" i="28" s="1"/>
  <c r="Q55" i="27"/>
  <c r="Q25" i="28"/>
  <c r="M53" i="28"/>
  <c r="Q53" i="28" s="1"/>
  <c r="S14" i="28"/>
  <c r="R25" i="28"/>
  <c r="Q23" i="28"/>
  <c r="S26" i="28"/>
  <c r="Q44" i="27"/>
  <c r="R17" i="28"/>
  <c r="R23" i="28"/>
  <c r="R14" i="28"/>
  <c r="M41" i="28"/>
  <c r="Q22" i="28"/>
  <c r="Q28" i="28"/>
  <c r="R28" i="28"/>
  <c r="M55" i="28"/>
  <c r="Q55" i="28" s="1"/>
  <c r="Q14" i="28"/>
  <c r="R26" i="28"/>
  <c r="J57" i="28"/>
  <c r="Q44" i="28"/>
  <c r="L57" i="28"/>
  <c r="K57" i="28"/>
  <c r="S44" i="28"/>
  <c r="L58" i="28"/>
  <c r="K58" i="28"/>
  <c r="J58" i="28"/>
  <c r="R40" i="28"/>
  <c r="S40" i="28"/>
  <c r="Q40" i="28"/>
  <c r="R52" i="28"/>
  <c r="J31" i="28"/>
  <c r="L31" i="28"/>
  <c r="K31" i="28"/>
  <c r="J57" i="27"/>
  <c r="K57" i="27"/>
  <c r="R41" i="27"/>
  <c r="S41" i="27"/>
  <c r="R43" i="27"/>
  <c r="K31" i="27"/>
  <c r="J31" i="27"/>
  <c r="L31" i="27"/>
  <c r="S43" i="27"/>
  <c r="S52" i="27"/>
  <c r="R52" i="27"/>
  <c r="Q52" i="27"/>
  <c r="Q40" i="27"/>
  <c r="R40" i="27"/>
  <c r="S40" i="27"/>
  <c r="K47" i="27"/>
  <c r="J47" i="27"/>
  <c r="L47" i="27"/>
  <c r="L50" i="26"/>
  <c r="J50" i="26"/>
  <c r="L49" i="26"/>
  <c r="L41" i="26"/>
  <c r="L44" i="26"/>
  <c r="Q26" i="26"/>
  <c r="J53" i="26"/>
  <c r="L53" i="26"/>
  <c r="K53" i="26"/>
  <c r="Q17" i="26"/>
  <c r="J49" i="26"/>
  <c r="K49" i="26"/>
  <c r="J30" i="26"/>
  <c r="H57" i="26"/>
  <c r="R17" i="26"/>
  <c r="N47" i="26"/>
  <c r="H58" i="26"/>
  <c r="R14" i="26"/>
  <c r="L40" i="26"/>
  <c r="L55" i="26"/>
  <c r="R26" i="26"/>
  <c r="K40" i="26"/>
  <c r="I58" i="26"/>
  <c r="K46" i="26"/>
  <c r="K50" i="26"/>
  <c r="L30" i="26"/>
  <c r="I57" i="26"/>
  <c r="J41" i="26"/>
  <c r="J40" i="26"/>
  <c r="J46" i="26"/>
  <c r="F57" i="26"/>
  <c r="S44" i="26"/>
  <c r="J55" i="26"/>
  <c r="L52" i="26"/>
  <c r="K55" i="26"/>
  <c r="Q16" i="26"/>
  <c r="K30" i="26"/>
  <c r="R16" i="26"/>
  <c r="Q22" i="26"/>
  <c r="R25" i="26"/>
  <c r="S25" i="26"/>
  <c r="R28" i="26"/>
  <c r="R22" i="26"/>
  <c r="M55" i="26"/>
  <c r="S55" i="26" s="1"/>
  <c r="P57" i="26"/>
  <c r="O57" i="26"/>
  <c r="L56" i="26"/>
  <c r="K56" i="26"/>
  <c r="J56" i="26"/>
  <c r="S43" i="26"/>
  <c r="R43" i="26"/>
  <c r="Q43" i="26"/>
  <c r="S52" i="26"/>
  <c r="R52" i="26"/>
  <c r="Q52" i="26"/>
  <c r="S49" i="26"/>
  <c r="Q40" i="26"/>
  <c r="S40" i="26"/>
  <c r="R40" i="26"/>
  <c r="S50" i="26"/>
  <c r="R50" i="26"/>
  <c r="Q50" i="26"/>
  <c r="N57" i="26"/>
  <c r="O58" i="26"/>
  <c r="G58" i="26"/>
  <c r="Q13" i="26"/>
  <c r="S17" i="26"/>
  <c r="S22" i="26"/>
  <c r="Q23" i="26"/>
  <c r="S28" i="26"/>
  <c r="N30" i="26"/>
  <c r="M41" i="26"/>
  <c r="Q44" i="26"/>
  <c r="J52" i="26"/>
  <c r="R13" i="26"/>
  <c r="R23" i="26"/>
  <c r="F31" i="26"/>
  <c r="N31" i="26"/>
  <c r="N41" i="26"/>
  <c r="N58" i="26" s="1"/>
  <c r="J44" i="26"/>
  <c r="R44" i="26"/>
  <c r="F47" i="26"/>
  <c r="K52" i="26"/>
  <c r="M53" i="26"/>
  <c r="S13" i="26"/>
  <c r="S23" i="26"/>
  <c r="Q25" i="26"/>
  <c r="P30" i="26"/>
  <c r="O31" i="26"/>
  <c r="K44" i="26"/>
  <c r="P47" i="26"/>
  <c r="P58" i="26" s="1"/>
  <c r="P31" i="26"/>
  <c r="J43" i="26"/>
  <c r="Q49" i="26"/>
  <c r="I31" i="26"/>
  <c r="K43" i="26"/>
  <c r="R49" i="26"/>
  <c r="L43" i="26"/>
  <c r="S16" i="26"/>
  <c r="L29" i="26"/>
  <c r="K41" i="26"/>
  <c r="F36" i="22"/>
  <c r="I29" i="22"/>
  <c r="K29" i="22"/>
  <c r="F47" i="22"/>
  <c r="I20" i="22"/>
  <c r="F29" i="21"/>
  <c r="F20" i="21"/>
  <c r="I20" i="21"/>
  <c r="I29" i="21"/>
  <c r="F36" i="21"/>
  <c r="U58" i="22"/>
  <c r="T58" i="22"/>
  <c r="V57" i="22"/>
  <c r="U57" i="22"/>
  <c r="T57" i="22"/>
  <c r="V56" i="22"/>
  <c r="V58" i="22" s="1"/>
  <c r="H56" i="22"/>
  <c r="G56" i="22"/>
  <c r="I55" i="22"/>
  <c r="H55" i="22"/>
  <c r="G55" i="22"/>
  <c r="F55" i="22"/>
  <c r="I53" i="22"/>
  <c r="H53" i="22"/>
  <c r="G53" i="22"/>
  <c r="F53" i="22"/>
  <c r="I52" i="22"/>
  <c r="H52" i="22"/>
  <c r="G52" i="22"/>
  <c r="F52" i="22"/>
  <c r="I50" i="22"/>
  <c r="H50" i="22"/>
  <c r="G50" i="22"/>
  <c r="F50" i="22"/>
  <c r="I49" i="22"/>
  <c r="H49" i="22"/>
  <c r="G49" i="22"/>
  <c r="F49" i="22"/>
  <c r="K49" i="22" s="1"/>
  <c r="V47" i="22"/>
  <c r="H47" i="22"/>
  <c r="G47" i="22"/>
  <c r="I46" i="22"/>
  <c r="H46" i="22"/>
  <c r="G46" i="22"/>
  <c r="F46" i="22"/>
  <c r="I44" i="22"/>
  <c r="H44" i="22"/>
  <c r="G44" i="22"/>
  <c r="F44" i="22"/>
  <c r="I43" i="22"/>
  <c r="H43" i="22"/>
  <c r="G43" i="22"/>
  <c r="F43" i="22"/>
  <c r="I41" i="22"/>
  <c r="H41" i="22"/>
  <c r="G41" i="22"/>
  <c r="F41" i="22"/>
  <c r="I40" i="22"/>
  <c r="H40" i="22"/>
  <c r="G40" i="22"/>
  <c r="F40" i="22"/>
  <c r="K40" i="22" s="1"/>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Q49" i="28" l="1"/>
  <c r="Q41" i="28"/>
  <c r="R49" i="28"/>
  <c r="S52" i="28"/>
  <c r="S41" i="28"/>
  <c r="S53" i="28"/>
  <c r="R53" i="28"/>
  <c r="R41" i="28"/>
  <c r="S55" i="28"/>
  <c r="R55" i="28"/>
  <c r="L58" i="27"/>
  <c r="K58" i="27"/>
  <c r="J58" i="27"/>
  <c r="R55" i="26"/>
  <c r="L57" i="26"/>
  <c r="J57" i="26"/>
  <c r="K57" i="26"/>
  <c r="Q55" i="26"/>
  <c r="K47" i="26"/>
  <c r="J47" i="26"/>
  <c r="L47" i="26"/>
  <c r="S41" i="26"/>
  <c r="R41" i="26"/>
  <c r="Q41" i="26"/>
  <c r="R53" i="26"/>
  <c r="Q53" i="26"/>
  <c r="S53" i="26"/>
  <c r="K31" i="26"/>
  <c r="J31" i="26"/>
  <c r="L31" i="26"/>
  <c r="F58" i="26"/>
  <c r="K43" i="22"/>
  <c r="J41" i="22"/>
  <c r="L49" i="22"/>
  <c r="F56" i="22"/>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K56" i="22"/>
  <c r="J30" i="22"/>
  <c r="K47" i="22"/>
  <c r="J47" i="22"/>
  <c r="F58" i="22"/>
  <c r="K20" i="22"/>
  <c r="L29" i="22"/>
  <c r="J40" i="22"/>
  <c r="L41" i="22"/>
  <c r="L20" i="22"/>
  <c r="J52" i="22"/>
  <c r="I57" i="22"/>
  <c r="J20" i="22"/>
  <c r="J44" i="22"/>
  <c r="F57" i="22"/>
  <c r="F31" i="22"/>
  <c r="K44" i="22"/>
  <c r="J50" i="22"/>
  <c r="L52" i="22"/>
  <c r="J56" i="22"/>
  <c r="I56" i="22"/>
  <c r="L56" i="22" s="1"/>
  <c r="V56" i="21"/>
  <c r="V47" i="21"/>
  <c r="L58" i="26" l="1"/>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L50" i="21" s="1"/>
  <c r="I49" i="21"/>
  <c r="H49" i="21"/>
  <c r="G49" i="21"/>
  <c r="F49" i="21"/>
  <c r="H47" i="21"/>
  <c r="G47" i="21"/>
  <c r="I46" i="21"/>
  <c r="H46" i="21"/>
  <c r="G46" i="21"/>
  <c r="F46" i="21"/>
  <c r="L46" i="21" s="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J52" i="21" l="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S17" i="20"/>
  <c r="L27" i="20"/>
  <c r="J28" i="20"/>
  <c r="L28" i="20"/>
  <c r="K27" i="20"/>
  <c r="K28" i="20"/>
  <c r="J26" i="19"/>
  <c r="P22" i="19"/>
  <c r="P22" i="20" s="1"/>
  <c r="P25" i="21" s="1"/>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R19" i="18" s="1"/>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S16" i="18" s="1"/>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S13" i="18" s="1"/>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J27" i="18" s="1"/>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M13" i="21" l="1"/>
  <c r="S10" i="20"/>
  <c r="R10" i="20"/>
  <c r="N16" i="22"/>
  <c r="N43" i="22" s="1"/>
  <c r="N43" i="21"/>
  <c r="N19" i="22"/>
  <c r="N46" i="22" s="1"/>
  <c r="N46" i="21"/>
  <c r="P14" i="21"/>
  <c r="S11" i="20"/>
  <c r="O19" i="22"/>
  <c r="O46" i="22" s="1"/>
  <c r="O46" i="21"/>
  <c r="O22" i="22"/>
  <c r="O49" i="22" s="1"/>
  <c r="O49" i="21"/>
  <c r="O25" i="22"/>
  <c r="O52" i="22" s="1"/>
  <c r="O52" i="21"/>
  <c r="O28" i="22"/>
  <c r="O55" i="22" s="1"/>
  <c r="O55" i="21"/>
  <c r="P22" i="22"/>
  <c r="P49" i="22" s="1"/>
  <c r="P49" i="21"/>
  <c r="P28" i="22"/>
  <c r="P55" i="22" s="1"/>
  <c r="P55" i="21"/>
  <c r="M23" i="21"/>
  <c r="Q20" i="20"/>
  <c r="S20" i="20"/>
  <c r="R20" i="20"/>
  <c r="M26" i="21"/>
  <c r="R23" i="20"/>
  <c r="S23" i="20"/>
  <c r="N25" i="22"/>
  <c r="N52" i="22" s="1"/>
  <c r="N52" i="21"/>
  <c r="P17" i="22"/>
  <c r="P44" i="22" s="1"/>
  <c r="P44" i="21"/>
  <c r="P20" i="22"/>
  <c r="P47" i="22" s="1"/>
  <c r="P47" i="21"/>
  <c r="P23" i="22"/>
  <c r="P50" i="22" s="1"/>
  <c r="P50" i="21"/>
  <c r="S23" i="19"/>
  <c r="P23" i="20"/>
  <c r="P26" i="21" s="1"/>
  <c r="P29" i="22"/>
  <c r="P56" i="22" s="1"/>
  <c r="P56" i="21"/>
  <c r="Q17" i="20"/>
  <c r="N22" i="22"/>
  <c r="N49" i="22" s="1"/>
  <c r="N49" i="21"/>
  <c r="Q22" i="18"/>
  <c r="Q25" i="18"/>
  <c r="M13" i="19"/>
  <c r="M13" i="20" s="1"/>
  <c r="Q11" i="20"/>
  <c r="R14" i="20"/>
  <c r="H25" i="14"/>
  <c r="M27" i="14"/>
  <c r="O13" i="22"/>
  <c r="O40" i="21"/>
  <c r="O57" i="21" s="1"/>
  <c r="O30" i="21"/>
  <c r="O16" i="22"/>
  <c r="O43" i="22" s="1"/>
  <c r="O43" i="21"/>
  <c r="M16" i="19"/>
  <c r="M16" i="20" s="1"/>
  <c r="O27" i="20"/>
  <c r="N28" i="22"/>
  <c r="N55" i="22" s="1"/>
  <c r="N55" i="21"/>
  <c r="P13" i="22"/>
  <c r="P40" i="21"/>
  <c r="P30" i="21"/>
  <c r="P16" i="22"/>
  <c r="P43" i="22" s="1"/>
  <c r="P43" i="21"/>
  <c r="P19" i="22"/>
  <c r="P46" i="22" s="1"/>
  <c r="P46" i="21"/>
  <c r="R17" i="20"/>
  <c r="O28" i="20"/>
  <c r="M14" i="22"/>
  <c r="M41" i="21"/>
  <c r="Q14" i="21"/>
  <c r="R14" i="21"/>
  <c r="S14" i="21"/>
  <c r="M17" i="22"/>
  <c r="M44" i="21"/>
  <c r="R17" i="21"/>
  <c r="S17" i="21"/>
  <c r="M20" i="22"/>
  <c r="M20" i="26" s="1"/>
  <c r="M47" i="21"/>
  <c r="R20" i="21"/>
  <c r="R11" i="20"/>
  <c r="S14" i="20"/>
  <c r="Q20" i="21"/>
  <c r="N14" i="22"/>
  <c r="N41" i="21"/>
  <c r="Q14" i="20"/>
  <c r="N17" i="21"/>
  <c r="N20" i="22"/>
  <c r="N47" i="22" s="1"/>
  <c r="N47" i="21"/>
  <c r="N23" i="22"/>
  <c r="N50" i="22" s="1"/>
  <c r="N50" i="21"/>
  <c r="Q23" i="19"/>
  <c r="N23" i="20"/>
  <c r="N26" i="21" s="1"/>
  <c r="N29" i="22"/>
  <c r="N56" i="22" s="1"/>
  <c r="N56" i="21"/>
  <c r="P27" i="20"/>
  <c r="S20" i="21"/>
  <c r="P25" i="22"/>
  <c r="P52" i="22" s="1"/>
  <c r="P52" i="21"/>
  <c r="O14" i="22"/>
  <c r="O41" i="21"/>
  <c r="O31" i="21"/>
  <c r="O17" i="22"/>
  <c r="O44" i="22" s="1"/>
  <c r="O44" i="21"/>
  <c r="O20" i="22"/>
  <c r="O47" i="22" s="1"/>
  <c r="O47" i="21"/>
  <c r="O23" i="22"/>
  <c r="O50" i="22" s="1"/>
  <c r="O50" i="21"/>
  <c r="O26" i="22"/>
  <c r="O53" i="22" s="1"/>
  <c r="O53" i="21"/>
  <c r="O29" i="22"/>
  <c r="O56" i="22" s="1"/>
  <c r="O56" i="21"/>
  <c r="N10" i="19"/>
  <c r="N10" i="20" s="1"/>
  <c r="Q10" i="20" s="1"/>
  <c r="Q16" i="20"/>
  <c r="R16" i="20"/>
  <c r="S16" i="20"/>
  <c r="S11" i="19"/>
  <c r="M19" i="19"/>
  <c r="M19" i="20" s="1"/>
  <c r="M22" i="19"/>
  <c r="M25" i="19"/>
  <c r="M25" i="20" s="1"/>
  <c r="R23" i="19"/>
  <c r="M26" i="19"/>
  <c r="L26" i="19"/>
  <c r="K26" i="19"/>
  <c r="I28" i="19"/>
  <c r="F28" i="19"/>
  <c r="J17" i="19"/>
  <c r="R25" i="19"/>
  <c r="S25" i="19"/>
  <c r="Q25" i="19"/>
  <c r="Q20" i="19"/>
  <c r="R20" i="19"/>
  <c r="S20" i="19"/>
  <c r="Q17" i="19"/>
  <c r="R17" i="19"/>
  <c r="S17" i="19"/>
  <c r="S16" i="19"/>
  <c r="P27" i="19"/>
  <c r="Q14" i="19"/>
  <c r="R14" i="19"/>
  <c r="S14" i="19"/>
  <c r="M27"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28"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M20" i="27" l="1"/>
  <c r="M20" i="28" s="1"/>
  <c r="Q20" i="26"/>
  <c r="R20" i="26"/>
  <c r="S20" i="26"/>
  <c r="M47" i="26"/>
  <c r="S19" i="19"/>
  <c r="S17" i="22"/>
  <c r="R17" i="22"/>
  <c r="M44" i="22"/>
  <c r="O40" i="22"/>
  <c r="O30" i="22"/>
  <c r="P30" i="22"/>
  <c r="P40" i="22"/>
  <c r="P57" i="22" s="1"/>
  <c r="N27" i="19"/>
  <c r="R26" i="19"/>
  <c r="M26" i="20"/>
  <c r="N17" i="22"/>
  <c r="N44" i="22" s="1"/>
  <c r="N44" i="21"/>
  <c r="N58" i="21" s="1"/>
  <c r="Q23" i="20"/>
  <c r="S47" i="21"/>
  <c r="R47" i="21"/>
  <c r="Q47" i="21"/>
  <c r="M26" i="22"/>
  <c r="M53" i="21"/>
  <c r="S26" i="21"/>
  <c r="R26" i="21"/>
  <c r="Q26" i="21"/>
  <c r="M28" i="21"/>
  <c r="Q25" i="20"/>
  <c r="R25" i="20"/>
  <c r="S25" i="20"/>
  <c r="O58" i="21"/>
  <c r="N26" i="22"/>
  <c r="N53" i="22" s="1"/>
  <c r="N53" i="21"/>
  <c r="Q53" i="21" s="1"/>
  <c r="N31" i="21"/>
  <c r="Q20" i="22"/>
  <c r="M47" i="22"/>
  <c r="R20" i="22"/>
  <c r="S20" i="22"/>
  <c r="M19" i="21"/>
  <c r="Q19" i="19"/>
  <c r="S22" i="19"/>
  <c r="M22" i="20"/>
  <c r="O41" i="22"/>
  <c r="O58" i="22" s="1"/>
  <c r="O31" i="22"/>
  <c r="Q41" i="21"/>
  <c r="S41" i="21"/>
  <c r="R41" i="21"/>
  <c r="Q10" i="19"/>
  <c r="M22" i="21"/>
  <c r="R19" i="20"/>
  <c r="S19" i="20"/>
  <c r="Q19" i="20"/>
  <c r="N41" i="22"/>
  <c r="N58" i="22" s="1"/>
  <c r="N31" i="22"/>
  <c r="Q17" i="21"/>
  <c r="Q14" i="22"/>
  <c r="R14" i="22"/>
  <c r="M41" i="22"/>
  <c r="O57" i="22"/>
  <c r="M16" i="21"/>
  <c r="R13" i="20"/>
  <c r="Q13" i="20"/>
  <c r="S13" i="20"/>
  <c r="P26" i="22"/>
  <c r="P53" i="22" s="1"/>
  <c r="P53" i="21"/>
  <c r="P28" i="20"/>
  <c r="N13" i="21"/>
  <c r="N27" i="20"/>
  <c r="Q44" i="21"/>
  <c r="S44" i="21"/>
  <c r="R44" i="21"/>
  <c r="N28" i="20"/>
  <c r="P57" i="21"/>
  <c r="M23" i="22"/>
  <c r="M50" i="21"/>
  <c r="S23" i="21"/>
  <c r="R23" i="21"/>
  <c r="Q23" i="21"/>
  <c r="P14" i="22"/>
  <c r="S14" i="22" s="1"/>
  <c r="P41" i="21"/>
  <c r="P31" i="21"/>
  <c r="M13" i="22"/>
  <c r="M40" i="21"/>
  <c r="S13" i="21"/>
  <c r="Q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R20" i="28" l="1"/>
  <c r="S20" i="28"/>
  <c r="Q20" i="28"/>
  <c r="M47" i="28"/>
  <c r="S47" i="26"/>
  <c r="Q47" i="26"/>
  <c r="R47" i="26"/>
  <c r="Q20" i="27"/>
  <c r="S20" i="27"/>
  <c r="R20" i="27"/>
  <c r="M47" i="27"/>
  <c r="M16" i="22"/>
  <c r="S16" i="21"/>
  <c r="M43" i="21"/>
  <c r="R16" i="21"/>
  <c r="Q16" i="21"/>
  <c r="M19" i="22"/>
  <c r="M19" i="26" s="1"/>
  <c r="S19" i="21"/>
  <c r="Q19" i="21"/>
  <c r="R19" i="21"/>
  <c r="Q17" i="22"/>
  <c r="S40" i="21"/>
  <c r="R40" i="21"/>
  <c r="S50" i="21"/>
  <c r="R50" i="21"/>
  <c r="Q50" i="21"/>
  <c r="N13" i="22"/>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49" i="21"/>
  <c r="S22" i="21"/>
  <c r="Q22" i="21"/>
  <c r="R22" i="21"/>
  <c r="S47" i="22"/>
  <c r="Q47" i="22"/>
  <c r="R47" i="22"/>
  <c r="P31" i="22"/>
  <c r="P41" i="22"/>
  <c r="P58" i="22" s="1"/>
  <c r="M25" i="21"/>
  <c r="M30" i="21" s="1"/>
  <c r="R22" i="20"/>
  <c r="Q22" i="20"/>
  <c r="S22" i="20"/>
  <c r="M28" i="22"/>
  <c r="M55" i="21"/>
  <c r="R28" i="21"/>
  <c r="S28" i="21"/>
  <c r="Q28" i="21"/>
  <c r="M27" i="20"/>
  <c r="S28" i="19"/>
  <c r="R28" i="19"/>
  <c r="L28" i="17"/>
  <c r="J28" i="17"/>
  <c r="R26" i="17"/>
  <c r="S26" i="17"/>
  <c r="Q26" i="17"/>
  <c r="M28" i="17"/>
  <c r="L27" i="17"/>
  <c r="K27" i="17"/>
  <c r="J27" i="17"/>
  <c r="R25" i="17"/>
  <c r="Q25" i="17"/>
  <c r="S25" i="17"/>
  <c r="M27" i="17"/>
  <c r="P27" i="1"/>
  <c r="P28" i="1"/>
  <c r="R47" i="28" l="1"/>
  <c r="S47" i="28"/>
  <c r="Q47" i="28"/>
  <c r="Q47" i="27"/>
  <c r="R47" i="27"/>
  <c r="S47" i="27"/>
  <c r="M46" i="26"/>
  <c r="M19" i="27"/>
  <c r="M30" i="27" s="1"/>
  <c r="R19" i="26"/>
  <c r="S19" i="26"/>
  <c r="M30" i="26"/>
  <c r="Q19" i="26"/>
  <c r="Q30" i="2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s="1"/>
  <c r="N30" i="22"/>
  <c r="S43" i="21"/>
  <c r="R43" i="21"/>
  <c r="Q43" i="21"/>
  <c r="Q19" i="22"/>
  <c r="R19" i="22"/>
  <c r="M46" i="22"/>
  <c r="S19" i="22"/>
  <c r="M25" i="22"/>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M19" i="28" l="1"/>
  <c r="M30" i="28" s="1"/>
  <c r="M56" i="26"/>
  <c r="M29" i="27"/>
  <c r="M31" i="27" s="1"/>
  <c r="R29" i="26"/>
  <c r="Q29" i="26"/>
  <c r="S29" i="26"/>
  <c r="M31" i="26"/>
  <c r="R30" i="26"/>
  <c r="S30" i="26"/>
  <c r="Q30" i="26"/>
  <c r="S19" i="27"/>
  <c r="R19" i="27"/>
  <c r="Q19" i="27"/>
  <c r="M46" i="27"/>
  <c r="M57" i="27" s="1"/>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S19" i="28" l="1"/>
  <c r="M46" i="28"/>
  <c r="M57" i="28" s="1"/>
  <c r="Q19" i="28"/>
  <c r="R19" i="28"/>
  <c r="M29" i="28"/>
  <c r="M31" i="28" s="1"/>
  <c r="Q29" i="28"/>
  <c r="S30" i="28"/>
  <c r="Q30" i="28"/>
  <c r="R30" i="28"/>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R29" i="28" l="1"/>
  <c r="M56" i="28"/>
  <c r="M58" i="28" s="1"/>
  <c r="Q46" i="28"/>
  <c r="R46" i="28"/>
  <c r="S46" i="28"/>
  <c r="S29" i="28"/>
  <c r="S31" i="28"/>
  <c r="R31" i="28"/>
  <c r="Q31" i="28"/>
  <c r="R57" i="28"/>
  <c r="S57" i="28"/>
  <c r="Q57" i="28"/>
  <c r="Q56" i="28"/>
  <c r="R56" i="28"/>
  <c r="S56"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S58" i="28" l="1"/>
  <c r="Q58" i="28"/>
  <c r="R58" i="28"/>
  <c r="S58" i="27"/>
  <c r="R58" i="27"/>
  <c r="Q58" i="27"/>
  <c r="J27" i="9"/>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<sst xmlns="http://schemas.openxmlformats.org/spreadsheetml/2006/main" count="723" uniqueCount="97">
  <si>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</si>
  <si>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</si>
  <si>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</si>
  <si>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</si>
  <si>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</si>
  <si>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</si>
  <si>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</si>
  <si>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</si>
  <si>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</si>
  <si>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</si>
  <si>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</si>
  <si>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</si>
  <si>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</si>
  <si>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</si>
  <si>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</si>
  <si>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</si>
  <si>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</si>
  <si>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</si>
  <si>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</si>
  <si>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</si>
  <si>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</si>
  <si>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</si>
  <si>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</si>
  <si>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</si>
  <si>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</si>
  <si>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</si>
  <si>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</si>
  <si>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</si>
  <si>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</si>
  <si>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</si>
  <si>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</si>
  <si>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</si>
  <si>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</si>
  <si>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</si>
  <si>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</si>
  <si>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</si>
  <si>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</si>
  <si>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</si>
  <si>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</si>
  <si>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</si>
  <si>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</si>
  <si>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</si>
  <si>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</si>
  <si>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</si>
  <si>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</si>
  <si>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</si>
  <si>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</si>
  <si>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</si>
  <si>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</si>
  <si>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</si>
  <si>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</si>
  <si>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</si>
  <si>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</si>
  <si>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</si>
  <si>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</si>
  <si>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</si>
  <si>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</si>
  <si>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</si>
  <si>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</si>
  <si>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</si>
  <si>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</si>
  <si>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</si>
  <si>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</si>
  <si>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</si>
  <si>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</si>
  <si>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</si>
  <si>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</si>
  <si>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</si>
  <si>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</si>
  <si>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</si>
  <si>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</si>
  <si>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</si>
  <si>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</si>
  <si>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</si>
  <si>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</si>
  <si>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</si>
  <si>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</si>
  <si>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</si>
  <si>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</si>
  <si>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</si>
  <si>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</si>
  <si>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</si>
  <si>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</si>
  <si>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Occupancy Ratios - 2022</t>
  </si>
  <si>
    <t>Volume-weighted Consolidated Cruise Occupancy Ratio</t>
  </si>
  <si>
    <t>See following sheets</t>
  </si>
  <si>
    <t>Note: Occupancy ratios will lag one month due to availability of data</t>
  </si>
  <si>
    <t>Monthly Cruise Occupany Ratio GPH for 2022</t>
  </si>
  <si>
    <t>September 2022</t>
  </si>
  <si>
    <t>January to September (YTD)</t>
  </si>
  <si>
    <t>April to September (YTD)</t>
  </si>
  <si>
    <t>October 2022</t>
  </si>
  <si>
    <t>January to October (YTD)</t>
  </si>
  <si>
    <t>April to October (YTD)</t>
  </si>
  <si>
    <t>November 2022</t>
  </si>
  <si>
    <t>January to November (YTD)</t>
  </si>
  <si>
    <t>April to November (YTD)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</si>
</sst>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s>
  <fonts count="3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6">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109">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8" fontId="17" fillId="8" borderId="0" xfId="7" applyNumberFormat="1" applyFont="1" applyFill="1" applyBorder="1" applyAlignment="1" applyProtection="1"/>
    <xf numFmtId="168" fontId="17" fillId="3" borderId="0" xfId="7" applyNumberFormat="1" applyFont="1" applyFill="1" applyBorder="1" applyAlignment="1" applyProtection="1"/>
    <xf numFmtId="171" fontId="17" fillId="8" borderId="0" xfId="7" applyNumberFormat="1" applyFont="1" applyFill="1" applyBorder="1" applyAlignment="1" applyProtection="1"/>
    <xf numFmtId="170" fontId="17" fillId="8" borderId="0" xfId="7" applyNumberFormat="1" applyFont="1" applyFill="1" applyBorder="1" applyAlignment="1" applyProtection="1"/>
    <xf numFmtId="168" fontId="18" fillId="6" borderId="2" xfId="7" applyNumberFormat="1" applyFont="1" applyFill="1" applyBorder="1" applyAlignment="1" applyProtection="1">
      <alignment horizontal="right"/>
    </xf>
    <xf numFmtId="168" fontId="18" fillId="6" borderId="10" xfId="7" applyNumberFormat="1" applyFont="1" applyFill="1" applyBorder="1" applyAlignment="1" applyProtection="1">
      <alignment horizontal="right"/>
    </xf>
    <xf numFmtId="0" fontId="20" fillId="6" borderId="3" xfId="0" applyFont="1" applyFill="1" applyBorder="1" applyAlignment="1">
      <alignment horizontal="center" vertical="center"/>
    </xf>
    <xf numFmtId="3" fontId="17" fillId="8"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6" borderId="4" xfId="7" applyNumberFormat="1" applyFont="1" applyFill="1" applyBorder="1" applyAlignment="1" applyProtection="1">
      <alignment horizontal="right" indent="1"/>
    </xf>
    <xf numFmtId="168" fontId="18" fillId="6" borderId="11" xfId="7" applyNumberFormat="1" applyFont="1" applyFill="1" applyBorder="1" applyAlignment="1" applyProtection="1">
      <alignment horizontal="right" indent="1"/>
    </xf>
    <xf numFmtId="170" fontId="17" fillId="8" borderId="0" xfId="7" applyNumberFormat="1" applyFont="1" applyFill="1" applyBorder="1" applyAlignment="1" applyProtection="1">
      <alignment horizontal="right" indent="1"/>
    </xf>
    <xf numFmtId="0" fontId="25" fillId="3" borderId="0" xfId="0" applyFont="1" applyFill="1"/>
    <xf numFmtId="170" fontId="17" fillId="8"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8"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29" fillId="5" borderId="7" xfId="3" applyFont="1" applyBorder="1"/>
    <xf numFmtId="0" fontId="31" fillId="0" borderId="0" xfId="0" applyFont="1"/>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171" fontId="30" fillId="2" borderId="6" xfId="1" applyNumberFormat="1" applyFont="1" applyBorder="1" applyAlignment="1">
      <alignment horizontal="right"/>
    </xf>
    <xf numFmtId="9" fontId="29" fillId="5" borderId="7" xfId="8" applyFont="1" applyFill="1" applyBorder="1" applyAlignment="1" applyProtection="1">
      <alignment horizontal="right" vertical="center"/>
    </xf>
    <xf numFmtId="9" fontId="29" fillId="5" borderId="0" xfId="8" applyFont="1" applyFill="1" applyBorder="1" applyAlignment="1" applyProtection="1">
      <alignment horizontal="right" vertical="center"/>
    </xf>
    <xf numFmtId="0" fontId="0" fillId="0" borderId="0" xfId="0" applyAlignment="1">
      <alignment horizontal="right"/>
    </xf>
    <xf numFmtId="168" fontId="17" fillId="3" borderId="0" xfId="2" applyNumberFormat="1" applyFont="1" applyFill="1"/>
    <xf numFmtId="0" fontId="18" fillId="2" borderId="6"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9">
    <cellStyle name="Comma" xfId="7" builtinId="3"/>
    <cellStyle name="Header1" xfId="4" xr:uid="{00000000-0005-0000-0000-000001000000}"/>
    <cellStyle name="Line_ClosingBal" xfId="6" xr:uid="{00000000-0005-0000-0000-000002000000}"/>
    <cellStyle name="Normal" xfId="0" builtinId="0"/>
    <cellStyle name="Normal 2" xfId="2" xr:uid="{00000000-0005-0000-0000-000004000000}"/>
    <cellStyle name="Percent" xfId="8" builtinId="5"/>
    <cellStyle name="Sheet_Header" xfId="1" xr:uid="{00000000-0005-0000-0000-000006000000}"/>
    <cellStyle name="Sheet_Header2" xfId="3" xr:uid="{00000000-0005-0000-0000-000007000000}"/>
    <cellStyle name="Unit" xfId="5" xr:uid="{00000000-0005-0000-0000-000008000000}"/>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16</xdr:row>
      <xdr:rowOff>164779</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3</xdr:row>
      <xdr:rowOff>31712</xdr:rowOff>
    </xdr:from>
    <xdr:to>
      <xdr:col>18</xdr:col>
      <xdr:colOff>0</xdr:colOff>
      <xdr:row>25</xdr:row>
      <xdr:rowOff>0</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849741"/>
          <a:ext cx="10436262" cy="4652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BPI		</a:t>
          </a:r>
          <a:r>
            <a:rPr kumimoji="0" lang="de-DE" sz="1000" b="0" i="0" u="none" strike="noStrike" kern="0" cap="none" spc="0" normalizeH="0" baseline="0" noProof="0">
              <a:ln>
                <a:noFill/>
              </a:ln>
              <a:solidFill>
                <a:prstClr val="black"/>
              </a:solidFill>
              <a:effectLst/>
              <a:uLnTx/>
              <a:uFillTx/>
              <a:latin typeface="+mn-lt"/>
              <a:ea typeface="+mn-ea"/>
              <a:cs typeface="+mn-cs"/>
            </a:rPr>
            <a:t>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1" i="0" u="none" strike="noStrike" baseline="0">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Crotone (from Mar 2022),  Kalundborg (from Feb</a:t>
          </a:r>
          <a:r>
            <a:rPr lang="de-DE" sz="1000" baseline="0">
              <a:solidFill>
                <a:schemeClr val="dk1"/>
              </a:solidFill>
              <a:effectLst/>
              <a:latin typeface="+mn-lt"/>
              <a:ea typeface="+mn-ea"/>
              <a:cs typeface="+mn-cs"/>
            </a:rPr>
            <a:t> 2</a:t>
          </a:r>
          <a:r>
            <a:rPr lang="de-DE" sz="1000">
              <a:solidFill>
                <a:schemeClr val="dk1"/>
              </a:solidFill>
              <a:effectLst/>
              <a:latin typeface="+mn-lt"/>
              <a:ea typeface="+mn-ea"/>
              <a:cs typeface="+mn-cs"/>
            </a:rPr>
            <a:t>022),Ravenna</a:t>
          </a:r>
          <a:r>
            <a:rPr lang="de-DE" sz="1000" baseline="0">
              <a:solidFill>
                <a:schemeClr val="dk1"/>
              </a:solidFill>
              <a:effectLst/>
              <a:latin typeface="+mn-lt"/>
              <a:ea typeface="+mn-ea"/>
              <a:cs typeface="+mn-cs"/>
            </a:rPr>
            <a:t> (up until </a:t>
          </a:r>
          <a:r>
            <a:rPr lang="de-DE" sz="1000">
              <a:solidFill>
                <a:schemeClr val="dk1"/>
              </a:solidFill>
              <a:effectLst/>
              <a:latin typeface="+mn-lt"/>
              <a:ea typeface="+mn-ea"/>
              <a:cs typeface="+mn-cs"/>
            </a:rPr>
            <a:t>2022) ,Taranto (from 2021), 		Tarragona (from Apr 2022) and Zadar as well as cruise activity in Port of Adria.</a:t>
          </a: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18</xdr:col>
      <xdr:colOff>744071</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v>44910</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59"/>
  <sheetViews>
    <sheetView showGridLines="0" zoomScale="85" zoomScaleNormal="85" zoomScalePageLayoutView="40" workbookViewId="0">
      <selection activeCell="F29" sqref="F2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56</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02" t="s">
        <v>55</v>
      </c>
      <c r="G9" s="102"/>
      <c r="H9" s="102"/>
      <c r="I9" s="102"/>
      <c r="J9" s="102"/>
      <c r="K9" s="102"/>
      <c r="L9" s="103"/>
      <c r="M9" s="104" t="s">
        <v>60</v>
      </c>
      <c r="N9" s="102"/>
      <c r="O9" s="102"/>
      <c r="P9" s="102"/>
      <c r="Q9" s="102"/>
      <c r="R9" s="102"/>
      <c r="S9" s="103"/>
      <c r="T9" s="104" t="s">
        <v>57</v>
      </c>
      <c r="U9" s="102"/>
      <c r="V9" s="105"/>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1</v>
      </c>
      <c r="G13" s="75">
        <v>6</v>
      </c>
      <c r="H13" s="72">
        <v>0</v>
      </c>
      <c r="I13" s="72">
        <v>6</v>
      </c>
      <c r="J13" s="65">
        <f t="shared" ref="J13:J31" si="0">IFERROR(F13/G13-1,"n/a")</f>
        <v>-0.83333333333333337</v>
      </c>
      <c r="K13" s="65" t="str">
        <f>IFERROR(F13/H13-1,"n/a")</f>
        <v>n/a</v>
      </c>
      <c r="L13" s="61">
        <f t="shared" ref="L13:L14" si="1">IFERROR(F13/I13-1,"n/a")</f>
        <v>-0.83333333333333337</v>
      </c>
      <c r="M13" s="69">
        <f>F13+'Jun-22'!M10</f>
        <v>227</v>
      </c>
      <c r="N13" s="69">
        <f>G13+'Jun-22'!N10</f>
        <v>6</v>
      </c>
      <c r="O13" s="69">
        <f>H13+'Jun-22'!O10</f>
        <v>145</v>
      </c>
      <c r="P13" s="69">
        <f>I13+'Jun-22'!P10</f>
        <v>246</v>
      </c>
      <c r="Q13" s="65">
        <f>IFERROR(M13/N13-1,"n/a")</f>
        <v>36.833333333333336</v>
      </c>
      <c r="R13" s="65">
        <f>IFERROR(M13/O13-1,"n/a")</f>
        <v>0.56551724137931036</v>
      </c>
      <c r="S13" s="61">
        <f>IFERROR(M13/P13-1,"n/a")</f>
        <v>-7.7235772357723609E-2</v>
      </c>
      <c r="T13" s="69">
        <v>111</v>
      </c>
      <c r="U13" s="71">
        <v>145</v>
      </c>
      <c r="V13" s="79">
        <v>386</v>
      </c>
    </row>
    <row r="14" spans="1:38" ht="14.4">
      <c r="A14" s="10"/>
      <c r="B14" s="13"/>
      <c r="C14" s="34"/>
      <c r="D14" s="27" t="s">
        <v>11</v>
      </c>
      <c r="E14" s="33"/>
      <c r="F14" s="75">
        <v>3145</v>
      </c>
      <c r="G14" s="75">
        <v>767</v>
      </c>
      <c r="H14" s="72">
        <v>0</v>
      </c>
      <c r="I14" s="75">
        <v>10620</v>
      </c>
      <c r="J14" s="65">
        <f t="shared" si="0"/>
        <v>3.1003911342894392</v>
      </c>
      <c r="K14" s="65" t="str">
        <f t="shared" ref="K14" si="2">IFERROR(F14/H14-1,"n/a")</f>
        <v>n/a</v>
      </c>
      <c r="L14" s="61">
        <f t="shared" si="1"/>
        <v>-0.70386064030131834</v>
      </c>
      <c r="M14" s="69">
        <f>F14+'Jun-22'!M11</f>
        <v>194169</v>
      </c>
      <c r="N14" s="69">
        <f>G14+'Jun-22'!N11</f>
        <v>767</v>
      </c>
      <c r="O14" s="69">
        <f>H14+'Jun-22'!O11</f>
        <v>258885</v>
      </c>
      <c r="P14" s="69">
        <f>I14+'Jun-22'!P11</f>
        <v>471524</v>
      </c>
      <c r="Q14" s="65">
        <f>IFERROR(M14/N14-1,"n/a")</f>
        <v>252.15384615384616</v>
      </c>
      <c r="R14" s="65">
        <f>IFERROR(M14/O14-1,"n/a")</f>
        <v>-0.24997972072541863</v>
      </c>
      <c r="S14" s="61">
        <f>IFERROR(M14/P14-1,"n/a")</f>
        <v>-0.58820971997183602</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71</v>
      </c>
      <c r="G16" s="75">
        <v>10</v>
      </c>
      <c r="H16" s="72">
        <v>0</v>
      </c>
      <c r="I16" s="75">
        <v>68</v>
      </c>
      <c r="J16" s="65">
        <f t="shared" si="0"/>
        <v>6.1</v>
      </c>
      <c r="K16" s="65" t="str">
        <f t="shared" ref="K16:K17" si="3">IFERROR(F16/H16-1,"n/a")</f>
        <v>n/a</v>
      </c>
      <c r="L16" s="61">
        <f t="shared" ref="L16:L17" si="4">IFERROR(F16/I16-1,"n/a")</f>
        <v>4.4117647058823595E-2</v>
      </c>
      <c r="M16" s="69">
        <f>F16+'Jun-22'!M13</f>
        <v>391</v>
      </c>
      <c r="N16" s="69">
        <f>G16+'Jun-22'!N13</f>
        <v>14</v>
      </c>
      <c r="O16" s="69">
        <f>H16+'Jun-22'!O13</f>
        <v>43</v>
      </c>
      <c r="P16" s="69">
        <f>I16+'Jun-22'!P13</f>
        <v>430</v>
      </c>
      <c r="Q16" s="65">
        <f t="shared" ref="Q16:Q17" si="5">IFERROR(M16/N16-1,"n/a")</f>
        <v>26.928571428571427</v>
      </c>
      <c r="R16" s="65">
        <f t="shared" ref="R16:R17" si="6">IFERROR(M16/O16-1,"n/a")</f>
        <v>8.0930232558139537</v>
      </c>
      <c r="S16" s="61">
        <f t="shared" ref="S16:S17" si="7">IFERROR(M16/P16-1,"n/a")</f>
        <v>-9.0697674418604657E-2</v>
      </c>
      <c r="T16" s="69">
        <v>283</v>
      </c>
      <c r="U16" s="71">
        <v>43</v>
      </c>
      <c r="V16" s="79">
        <v>827</v>
      </c>
    </row>
    <row r="17" spans="1:38" ht="14.4">
      <c r="A17" s="10"/>
      <c r="B17" s="13"/>
      <c r="C17" s="34"/>
      <c r="D17" s="27" t="s">
        <v>11</v>
      </c>
      <c r="E17" s="33"/>
      <c r="F17" s="75">
        <v>271417</v>
      </c>
      <c r="G17" s="75">
        <v>23553</v>
      </c>
      <c r="H17" s="72">
        <v>0</v>
      </c>
      <c r="I17" s="75">
        <v>261197</v>
      </c>
      <c r="J17" s="65">
        <f t="shared" si="0"/>
        <v>10.523670020804143</v>
      </c>
      <c r="K17" s="65" t="str">
        <f t="shared" si="3"/>
        <v>n/a</v>
      </c>
      <c r="L17" s="61">
        <f t="shared" si="4"/>
        <v>3.9127555063802388E-2</v>
      </c>
      <c r="M17" s="69">
        <f>F17+'Jun-22'!M14</f>
        <v>805117</v>
      </c>
      <c r="N17" s="69">
        <f>G17+'Jun-22'!N14</f>
        <v>28476</v>
      </c>
      <c r="O17" s="69">
        <f>H17+'Jun-22'!O14</f>
        <v>140552</v>
      </c>
      <c r="P17" s="69">
        <f>I17+'Jun-22'!P14</f>
        <v>1301649</v>
      </c>
      <c r="Q17" s="65">
        <f t="shared" si="5"/>
        <v>27.273528585475489</v>
      </c>
      <c r="R17" s="65">
        <f t="shared" si="6"/>
        <v>4.7282500426888268</v>
      </c>
      <c r="S17" s="61">
        <f t="shared" si="7"/>
        <v>-0.38146382012355096</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60</v>
      </c>
      <c r="G19" s="72">
        <v>0</v>
      </c>
      <c r="H19" s="72">
        <v>1</v>
      </c>
      <c r="I19" s="75">
        <v>32</v>
      </c>
      <c r="J19" s="65" t="str">
        <f t="shared" si="0"/>
        <v>n/a</v>
      </c>
      <c r="K19" s="65">
        <f t="shared" ref="K19:K20" si="8">IFERROR(F19/H19-1,"n/a")</f>
        <v>59</v>
      </c>
      <c r="L19" s="61">
        <f>IFERROR(F19/I19-1,"n/a")</f>
        <v>0.875</v>
      </c>
      <c r="M19" s="69">
        <f>F19+'Jun-22'!M16</f>
        <v>227</v>
      </c>
      <c r="N19" s="69">
        <f>G19+'Jun-22'!N16</f>
        <v>0</v>
      </c>
      <c r="O19" s="69">
        <f>H19+'Jun-22'!O16</f>
        <v>4</v>
      </c>
      <c r="P19" s="69">
        <f>I19+'Jun-22'!P16</f>
        <v>101</v>
      </c>
      <c r="Q19" s="65" t="str">
        <f t="shared" ref="Q19:Q20" si="9">IFERROR(M19/N19-1,"n/a")</f>
        <v>n/a</v>
      </c>
      <c r="R19" s="65">
        <f t="shared" ref="R19:R20" si="10">IFERROR(M19/O19-1,"n/a")</f>
        <v>55.75</v>
      </c>
      <c r="S19" s="61">
        <f t="shared" ref="S19:S20" si="11">IFERROR(M19/P19-1,"n/a")</f>
        <v>1.2475247524752477</v>
      </c>
      <c r="T19" s="69">
        <v>23</v>
      </c>
      <c r="U19" s="71">
        <v>4</v>
      </c>
      <c r="V19" s="79">
        <v>191</v>
      </c>
    </row>
    <row r="20" spans="1:38" ht="14.4">
      <c r="A20" s="10"/>
      <c r="B20" s="13"/>
      <c r="C20" s="34"/>
      <c r="D20" s="27" t="s">
        <v>11</v>
      </c>
      <c r="E20" s="33"/>
      <c r="F20" s="75">
        <f>66070+15120</f>
        <v>81190</v>
      </c>
      <c r="G20" s="72">
        <v>0</v>
      </c>
      <c r="H20" s="72">
        <v>111</v>
      </c>
      <c r="I20" s="75">
        <f>26433+14218</f>
        <v>40651</v>
      </c>
      <c r="J20" s="65" t="str">
        <f t="shared" si="0"/>
        <v>n/a</v>
      </c>
      <c r="K20" s="65">
        <f t="shared" si="8"/>
        <v>730.4414414414415</v>
      </c>
      <c r="L20" s="61">
        <f t="shared" ref="L20:L31" si="12">IFERROR(F20/I20-1,"n/a")</f>
        <v>0.99724484022533266</v>
      </c>
      <c r="M20" s="69">
        <f>F20+'Jun-22'!M17</f>
        <v>239678</v>
      </c>
      <c r="N20" s="69">
        <f>G20+'Jun-22'!N17</f>
        <v>0</v>
      </c>
      <c r="O20" s="69">
        <f>H20+'Jun-22'!O17</f>
        <v>1753</v>
      </c>
      <c r="P20" s="69">
        <f>I20+'Jun-22'!P17</f>
        <v>117191</v>
      </c>
      <c r="Q20" s="65" t="str">
        <f t="shared" si="9"/>
        <v>n/a</v>
      </c>
      <c r="R20" s="65">
        <f t="shared" si="10"/>
        <v>135.72447233314318</v>
      </c>
      <c r="S20" s="61">
        <f t="shared" si="11"/>
        <v>1.0451911836233156</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4">
        <v>83</v>
      </c>
      <c r="G22" s="75">
        <v>22</v>
      </c>
      <c r="H22" s="72">
        <v>0</v>
      </c>
      <c r="I22" s="75">
        <v>95</v>
      </c>
      <c r="J22" s="65">
        <f t="shared" si="0"/>
        <v>2.7727272727272729</v>
      </c>
      <c r="K22" s="65" t="str">
        <f t="shared" ref="K22:K23" si="13">IFERROR(F22/H22-1,"n/a")</f>
        <v>n/a</v>
      </c>
      <c r="L22" s="61">
        <f t="shared" si="12"/>
        <v>-0.12631578947368416</v>
      </c>
      <c r="M22" s="69">
        <f>F22+'Jun-22'!M19</f>
        <v>683</v>
      </c>
      <c r="N22" s="69">
        <f>G22+'Jun-22'!N19</f>
        <v>29</v>
      </c>
      <c r="O22" s="69">
        <f>H22+'Jun-22'!O19</f>
        <v>406</v>
      </c>
      <c r="P22" s="69">
        <f>I22+'Jun-22'!P19</f>
        <v>687</v>
      </c>
      <c r="Q22" s="65">
        <f t="shared" ref="Q22:Q23" si="14">IFERROR(M22/N22-1,"n/a")</f>
        <v>22.551724137931036</v>
      </c>
      <c r="R22" s="65">
        <f t="shared" ref="R22:R23" si="15">IFERROR(M22/O22-1,"n/a")</f>
        <v>0.68226600985221686</v>
      </c>
      <c r="S22" s="61">
        <f t="shared" ref="S22:S23" si="16">IFERROR(M22/P22-1,"n/a")</f>
        <v>-5.8224163027656983E-3</v>
      </c>
      <c r="T22" s="69">
        <v>411</v>
      </c>
      <c r="U22" s="71">
        <v>406</v>
      </c>
      <c r="V22" s="79">
        <v>1205</v>
      </c>
    </row>
    <row r="23" spans="1:38" ht="14.4">
      <c r="A23" s="10"/>
      <c r="B23" s="13"/>
      <c r="C23" s="34"/>
      <c r="D23" s="27" t="s">
        <v>11</v>
      </c>
      <c r="E23" s="33"/>
      <c r="F23" s="74">
        <v>288977</v>
      </c>
      <c r="G23" s="75">
        <v>30147</v>
      </c>
      <c r="H23" s="72">
        <v>0</v>
      </c>
      <c r="I23" s="75">
        <v>321844</v>
      </c>
      <c r="J23" s="65">
        <f t="shared" si="0"/>
        <v>8.5855972401897365</v>
      </c>
      <c r="K23" s="65" t="str">
        <f t="shared" si="13"/>
        <v>n/a</v>
      </c>
      <c r="L23" s="61">
        <f t="shared" si="12"/>
        <v>-0.10212090329476398</v>
      </c>
      <c r="M23" s="69">
        <f>F23+'Jun-22'!M20</f>
        <v>1642042</v>
      </c>
      <c r="N23" s="69">
        <f>G23+'Jun-22'!N20</f>
        <v>35258</v>
      </c>
      <c r="O23" s="69">
        <f>H23+'Jun-22'!O20</f>
        <v>833999</v>
      </c>
      <c r="P23" s="69">
        <f>I23+'Jun-22'!P20</f>
        <v>2333598</v>
      </c>
      <c r="Q23" s="65">
        <f t="shared" si="14"/>
        <v>45.572182199784443</v>
      </c>
      <c r="R23" s="65">
        <f t="shared" si="15"/>
        <v>0.96887766052477287</v>
      </c>
      <c r="S23" s="61">
        <f t="shared" si="16"/>
        <v>-0.29634752858032964</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5">
        <v>33</v>
      </c>
      <c r="G25" s="75">
        <v>9</v>
      </c>
      <c r="H25" s="72">
        <v>0</v>
      </c>
      <c r="I25" s="75">
        <v>36</v>
      </c>
      <c r="J25" s="65">
        <f t="shared" si="0"/>
        <v>2.6666666666666665</v>
      </c>
      <c r="K25" s="65" t="str">
        <f t="shared" ref="K25:K26" si="17">IFERROR(F25/H25-1,"n/a")</f>
        <v>n/a</v>
      </c>
      <c r="L25" s="61">
        <f t="shared" si="12"/>
        <v>-8.333333333333337E-2</v>
      </c>
      <c r="M25" s="69">
        <f>F25+'Jun-22'!M22</f>
        <v>156</v>
      </c>
      <c r="N25" s="69">
        <f>G25+'Jun-22'!N22</f>
        <v>37</v>
      </c>
      <c r="O25" s="69">
        <f>H25+'Jun-22'!O22</f>
        <v>9</v>
      </c>
      <c r="P25" s="69">
        <f>I25+'Jun-22'!P22</f>
        <v>169</v>
      </c>
      <c r="Q25" s="65">
        <f t="shared" ref="Q25:Q26" si="18">IFERROR(M25/N25-1,"n/a")</f>
        <v>3.2162162162162158</v>
      </c>
      <c r="R25" s="65">
        <f t="shared" ref="R25:R26" si="19">IFERROR(M25/O25-1,"n/a")</f>
        <v>16.333333333333332</v>
      </c>
      <c r="S25" s="61">
        <f t="shared" ref="S25:S26" si="20">IFERROR(M25/P25-1,"n/a")</f>
        <v>-7.6923076923076872E-2</v>
      </c>
      <c r="T25" s="69">
        <v>107</v>
      </c>
      <c r="U25" s="71">
        <v>32</v>
      </c>
      <c r="V25" s="79">
        <v>372</v>
      </c>
    </row>
    <row r="26" spans="1:38" ht="14.4">
      <c r="A26" s="10"/>
      <c r="B26" s="13"/>
      <c r="C26" s="34"/>
      <c r="D26" s="27" t="s">
        <v>11</v>
      </c>
      <c r="E26" s="33"/>
      <c r="F26" s="75">
        <v>73604</v>
      </c>
      <c r="G26" s="75">
        <v>14049</v>
      </c>
      <c r="H26" s="72">
        <v>0</v>
      </c>
      <c r="I26" s="75">
        <v>102764</v>
      </c>
      <c r="J26" s="65">
        <f t="shared" si="0"/>
        <v>4.2390917503025127</v>
      </c>
      <c r="K26" s="65" t="str">
        <f t="shared" si="17"/>
        <v>n/a</v>
      </c>
      <c r="L26" s="61">
        <f t="shared" si="12"/>
        <v>-0.28375695768946319</v>
      </c>
      <c r="M26" s="69">
        <f>F26+'Jun-22'!M23</f>
        <v>250049</v>
      </c>
      <c r="N26" s="69">
        <f>G26+'Jun-22'!N23</f>
        <v>45450</v>
      </c>
      <c r="O26" s="69">
        <f>H26+'Jun-22'!O23</f>
        <v>40221</v>
      </c>
      <c r="P26" s="69">
        <f>I26+'Jun-22'!P23</f>
        <v>477135</v>
      </c>
      <c r="Q26" s="65">
        <f t="shared" si="18"/>
        <v>4.5016281628162815</v>
      </c>
      <c r="R26" s="65">
        <f t="shared" si="19"/>
        <v>5.216876755923523</v>
      </c>
      <c r="S26" s="61">
        <f t="shared" si="20"/>
        <v>-0.47593657979397863</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65</v>
      </c>
      <c r="G28" s="75">
        <v>16</v>
      </c>
      <c r="H28" s="72">
        <v>1</v>
      </c>
      <c r="I28" s="75">
        <v>46</v>
      </c>
      <c r="J28" s="65">
        <f t="shared" si="0"/>
        <v>3.0625</v>
      </c>
      <c r="K28" s="65">
        <f t="shared" ref="K28:K31" si="21">IFERROR(F28/H28-1,"n/a")</f>
        <v>64</v>
      </c>
      <c r="L28" s="61">
        <f t="shared" si="12"/>
        <v>0.41304347826086962</v>
      </c>
      <c r="M28" s="69">
        <f>F28+'Jun-22'!M25</f>
        <v>274</v>
      </c>
      <c r="N28" s="69">
        <f>G28+'Jun-22'!N25</f>
        <v>40</v>
      </c>
      <c r="O28" s="69">
        <f>H28+'Jun-22'!O25</f>
        <v>2</v>
      </c>
      <c r="P28" s="69">
        <f>I28+'Jun-22'!P25</f>
        <v>172</v>
      </c>
      <c r="Q28" s="65">
        <f t="shared" ref="Q28:Q31" si="22">IFERROR(M28/N28-1,"n/a")</f>
        <v>5.85</v>
      </c>
      <c r="R28" s="65">
        <f t="shared" ref="R28:R31" si="23">IFERROR(M28/O28-1,"n/a")</f>
        <v>136</v>
      </c>
      <c r="S28" s="61">
        <f t="shared" ref="S28:S31" si="24">IFERROR(M28/P28-1,"n/a")</f>
        <v>0.59302325581395343</v>
      </c>
      <c r="T28" s="69">
        <v>124</v>
      </c>
      <c r="U28" s="71">
        <v>37</v>
      </c>
      <c r="V28" s="79">
        <f>282+81</f>
        <v>363</v>
      </c>
    </row>
    <row r="29" spans="1:38" ht="14.4">
      <c r="A29" s="10"/>
      <c r="B29" s="13"/>
      <c r="C29" s="34"/>
      <c r="D29" s="27" t="s">
        <v>11</v>
      </c>
      <c r="E29" s="33"/>
      <c r="F29" s="75">
        <f>112886+3567+22453</f>
        <v>138906</v>
      </c>
      <c r="G29" s="75">
        <v>23981</v>
      </c>
      <c r="H29" s="72">
        <v>6081</v>
      </c>
      <c r="I29" s="75">
        <f>99976+21772+10200</f>
        <v>131948</v>
      </c>
      <c r="J29" s="65">
        <f t="shared" si="0"/>
        <v>4.792335599015888</v>
      </c>
      <c r="K29" s="65">
        <f t="shared" si="21"/>
        <v>21.842624568327576</v>
      </c>
      <c r="L29" s="61">
        <f t="shared" si="12"/>
        <v>5.2732894776730266E-2</v>
      </c>
      <c r="M29" s="69">
        <f>F29+'Jun-22'!M26</f>
        <v>359080</v>
      </c>
      <c r="N29" s="69">
        <f>G29+'Jun-22'!N26</f>
        <v>56633</v>
      </c>
      <c r="O29" s="69">
        <f>H29+'Jun-22'!O26</f>
        <v>9186</v>
      </c>
      <c r="P29" s="69">
        <f>I29+'Jun-22'!P26</f>
        <v>443129</v>
      </c>
      <c r="Q29" s="65">
        <f t="shared" si="22"/>
        <v>5.3404728691752155</v>
      </c>
      <c r="R29" s="65">
        <f t="shared" si="23"/>
        <v>38.089919442630091</v>
      </c>
      <c r="S29" s="61">
        <f t="shared" si="24"/>
        <v>-0.18967163060869408</v>
      </c>
      <c r="T29" s="69">
        <v>165083</v>
      </c>
      <c r="U29" s="71">
        <f>20768+8294</f>
        <v>29062</v>
      </c>
      <c r="V29" s="79">
        <f>659951+168729+38484</f>
        <v>867164</v>
      </c>
    </row>
    <row r="30" spans="1:38" ht="15" customHeight="1" thickBot="1">
      <c r="A30" s="10"/>
      <c r="B30" s="13"/>
      <c r="C30" s="36" t="s">
        <v>12</v>
      </c>
      <c r="D30" s="37"/>
      <c r="E30" s="38"/>
      <c r="F30" s="76">
        <f t="shared" ref="F30:I31" si="25">F13+F16+F19+F22+F25+F28</f>
        <v>313</v>
      </c>
      <c r="G30" s="76">
        <f t="shared" si="25"/>
        <v>63</v>
      </c>
      <c r="H30" s="76">
        <f t="shared" si="25"/>
        <v>2</v>
      </c>
      <c r="I30" s="76">
        <f t="shared" si="25"/>
        <v>283</v>
      </c>
      <c r="J30" s="67">
        <f t="shared" si="0"/>
        <v>3.9682539682539684</v>
      </c>
      <c r="K30" s="67">
        <f t="shared" si="21"/>
        <v>155.5</v>
      </c>
      <c r="L30" s="63">
        <f t="shared" si="12"/>
        <v>0.10600706713780927</v>
      </c>
      <c r="M30" s="47">
        <f t="shared" ref="M30:P31" si="26">M13+M16+M19+M22+M25+M28</f>
        <v>1958</v>
      </c>
      <c r="N30" s="47">
        <f t="shared" si="26"/>
        <v>126</v>
      </c>
      <c r="O30" s="47">
        <f t="shared" si="26"/>
        <v>609</v>
      </c>
      <c r="P30" s="47">
        <f t="shared" si="26"/>
        <v>1805</v>
      </c>
      <c r="Q30" s="67">
        <f t="shared" si="22"/>
        <v>14.53968253968254</v>
      </c>
      <c r="R30" s="67">
        <f t="shared" si="23"/>
        <v>2.2151067323481115</v>
      </c>
      <c r="S30" s="63">
        <f t="shared" si="24"/>
        <v>8.476454293628799E-2</v>
      </c>
      <c r="T30" s="47">
        <f t="shared" ref="T30:V31" si="27">T13+T16+T19+T22+T25+T28</f>
        <v>1059</v>
      </c>
      <c r="U30" s="47">
        <f t="shared" si="27"/>
        <v>667</v>
      </c>
      <c r="V30" s="81">
        <f t="shared" si="27"/>
        <v>3344</v>
      </c>
    </row>
    <row r="31" spans="1:38" s="23" customFormat="1" ht="15" customHeight="1" thickTop="1" thickBot="1">
      <c r="A31" s="10"/>
      <c r="B31" s="13"/>
      <c r="C31" s="39" t="s">
        <v>13</v>
      </c>
      <c r="D31" s="40"/>
      <c r="E31" s="41"/>
      <c r="F31" s="77">
        <f t="shared" si="25"/>
        <v>857239</v>
      </c>
      <c r="G31" s="77">
        <f t="shared" si="25"/>
        <v>92497</v>
      </c>
      <c r="H31" s="77">
        <f t="shared" si="25"/>
        <v>6192</v>
      </c>
      <c r="I31" s="77">
        <f t="shared" si="25"/>
        <v>869024</v>
      </c>
      <c r="J31" s="68">
        <f t="shared" si="0"/>
        <v>8.2677492242991661</v>
      </c>
      <c r="K31" s="68">
        <f t="shared" si="21"/>
        <v>137.44299095607235</v>
      </c>
      <c r="L31" s="64">
        <f t="shared" si="12"/>
        <v>-1.3561190484957852E-2</v>
      </c>
      <c r="M31" s="48">
        <f t="shared" si="26"/>
        <v>3490135</v>
      </c>
      <c r="N31" s="48">
        <f t="shared" si="26"/>
        <v>166584</v>
      </c>
      <c r="O31" s="48">
        <f t="shared" si="26"/>
        <v>1284596</v>
      </c>
      <c r="P31" s="48">
        <f t="shared" si="26"/>
        <v>5144226</v>
      </c>
      <c r="Q31" s="68">
        <f t="shared" si="22"/>
        <v>19.95120179609086</v>
      </c>
      <c r="R31" s="68">
        <f t="shared" si="23"/>
        <v>1.7169125546086086</v>
      </c>
      <c r="S31" s="64">
        <f t="shared" si="24"/>
        <v>-0.3215432214681081</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4.4">
      <c r="A34" s="10"/>
      <c r="B34" s="11"/>
      <c r="C34" s="87" t="s">
        <v>63</v>
      </c>
      <c r="D34" s="25"/>
      <c r="E34" s="25"/>
      <c r="F34" s="25"/>
      <c r="G34" s="25"/>
      <c r="H34" s="25"/>
      <c r="I34" s="25"/>
      <c r="J34" s="25"/>
      <c r="K34" s="25"/>
      <c r="L34" s="25"/>
      <c r="M34" s="25"/>
      <c r="N34" s="25"/>
      <c r="O34" s="25"/>
      <c r="P34" s="25"/>
      <c r="Q34" s="25"/>
      <c r="R34" s="25"/>
      <c r="S34" s="25"/>
      <c r="T34" s="25"/>
      <c r="U34" s="25"/>
      <c r="V34" s="25"/>
    </row>
    <row r="35" spans="1:22" ht="14.4">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02" t="str">
        <f>F9</f>
        <v>July</v>
      </c>
      <c r="G36" s="102"/>
      <c r="H36" s="102"/>
      <c r="I36" s="102"/>
      <c r="J36" s="102"/>
      <c r="K36" s="102"/>
      <c r="L36" s="103"/>
      <c r="M36" s="104" t="s">
        <v>61</v>
      </c>
      <c r="N36" s="102"/>
      <c r="O36" s="102"/>
      <c r="P36" s="102"/>
      <c r="Q36" s="102"/>
      <c r="R36" s="102"/>
      <c r="S36" s="103"/>
      <c r="T36" s="104" t="s">
        <v>58</v>
      </c>
      <c r="U36" s="102"/>
      <c r="V36" s="105"/>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4.200000000000003"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1</v>
      </c>
      <c r="G40" s="75">
        <f t="shared" ref="G40:I40" si="28">G13</f>
        <v>6</v>
      </c>
      <c r="H40" s="72">
        <f t="shared" si="28"/>
        <v>0</v>
      </c>
      <c r="I40" s="72">
        <f t="shared" si="28"/>
        <v>6</v>
      </c>
      <c r="J40" s="65">
        <f t="shared" ref="J40:J41" si="29">IFERROR(F40/G40-1,"n/a")</f>
        <v>-0.83333333333333337</v>
      </c>
      <c r="K40" s="65" t="str">
        <f>IFERROR(F40/H40-1,"n/a")</f>
        <v>n/a</v>
      </c>
      <c r="L40" s="61">
        <f t="shared" ref="L40:L41" si="30">IFERROR(F40/I40-1,"n/a")</f>
        <v>-0.83333333333333337</v>
      </c>
      <c r="M40" s="71">
        <f>+M13-'Mar-22'!M10</f>
        <v>30</v>
      </c>
      <c r="N40" s="71">
        <f>+N13-'Mar-22'!N10</f>
        <v>6</v>
      </c>
      <c r="O40" s="83">
        <f>+O13-'Mar-22'!O10</f>
        <v>0</v>
      </c>
      <c r="P40" s="71">
        <f>+P13-'Mar-22'!P10</f>
        <v>46</v>
      </c>
      <c r="Q40" s="65">
        <f>IFERROR(M40/N40-1,"n/a")</f>
        <v>4</v>
      </c>
      <c r="R40" s="65" t="str">
        <f>IFERROR(M40/O40-1,"n/a")</f>
        <v>n/a</v>
      </c>
      <c r="S40" s="61">
        <f>IFERROR(M40/P40-1,"n/a")</f>
        <v>-0.34782608695652173</v>
      </c>
      <c r="T40" s="90">
        <v>308</v>
      </c>
      <c r="U40" s="71">
        <v>145</v>
      </c>
      <c r="V40" s="79">
        <v>331</v>
      </c>
    </row>
    <row r="41" spans="1:22" s="10" customFormat="1" ht="15" customHeight="1">
      <c r="C41" s="34"/>
      <c r="D41" s="27" t="s">
        <v>11</v>
      </c>
      <c r="E41" s="33"/>
      <c r="F41" s="75">
        <f t="shared" ref="F41:I41" si="31">F14</f>
        <v>3145</v>
      </c>
      <c r="G41" s="75">
        <f t="shared" si="31"/>
        <v>767</v>
      </c>
      <c r="H41" s="72">
        <f t="shared" si="31"/>
        <v>0</v>
      </c>
      <c r="I41" s="75">
        <f t="shared" si="31"/>
        <v>10620</v>
      </c>
      <c r="J41" s="65">
        <f t="shared" si="29"/>
        <v>3.1003911342894392</v>
      </c>
      <c r="K41" s="65" t="str">
        <f t="shared" ref="K41" si="32">IFERROR(F41/H41-1,"n/a")</f>
        <v>n/a</v>
      </c>
      <c r="L41" s="61">
        <f t="shared" si="30"/>
        <v>-0.70386064030131834</v>
      </c>
      <c r="M41" s="83">
        <f>+M14-'Mar-22'!M11</f>
        <v>37841</v>
      </c>
      <c r="N41" s="83">
        <f>+N14-'Mar-22'!N11</f>
        <v>767</v>
      </c>
      <c r="O41" s="83">
        <f>+O14-'Mar-22'!O11</f>
        <v>0</v>
      </c>
      <c r="P41" s="83">
        <f>+P14-'Mar-22'!P11</f>
        <v>86144</v>
      </c>
      <c r="Q41" s="65">
        <f>IFERROR(M41/N41-1,"n/a")</f>
        <v>48.336375488917859</v>
      </c>
      <c r="R41" s="65" t="str">
        <f>IFERROR(M41/O41-1,"n/a")</f>
        <v>n/a</v>
      </c>
      <c r="S41" s="61">
        <f>IFERROR(M41/P41-1,"n/a")</f>
        <v>-0.56072390416047546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3" si="33">F16</f>
        <v>71</v>
      </c>
      <c r="G43" s="75">
        <f t="shared" si="33"/>
        <v>10</v>
      </c>
      <c r="H43" s="72">
        <f t="shared" si="33"/>
        <v>0</v>
      </c>
      <c r="I43" s="75">
        <f t="shared" si="33"/>
        <v>68</v>
      </c>
      <c r="J43" s="65">
        <f t="shared" ref="J43:J44" si="34">IFERROR(F43/G43-1,"n/a")</f>
        <v>6.1</v>
      </c>
      <c r="K43" s="65" t="str">
        <f t="shared" ref="K43:K44" si="35">IFERROR(F43/H43-1,"n/a")</f>
        <v>n/a</v>
      </c>
      <c r="L43" s="61">
        <f t="shared" ref="L43:L44" si="36">IFERROR(F43/I43-1,"n/a")</f>
        <v>4.4117647058823595E-2</v>
      </c>
      <c r="M43" s="71">
        <f>+M16-'Mar-22'!M13</f>
        <v>338</v>
      </c>
      <c r="N43" s="71">
        <f>+N16-'Mar-22'!N13</f>
        <v>14</v>
      </c>
      <c r="O43" s="83">
        <f>+O16-'Mar-22'!O13</f>
        <v>0</v>
      </c>
      <c r="P43" s="71">
        <f>+P16-'Mar-22'!P13</f>
        <v>341</v>
      </c>
      <c r="Q43" s="65">
        <f>IFERROR(M43/N43-1,"n/a")</f>
        <v>23.142857142857142</v>
      </c>
      <c r="R43" s="65" t="str">
        <f>IFERROR(M43/O43-1,"n/a")</f>
        <v>n/a</v>
      </c>
      <c r="S43" s="61">
        <f t="shared" ref="S43:S44" si="37">IFERROR(M43/P43-1,"n/a")</f>
        <v>-8.7976539589442737E-3</v>
      </c>
      <c r="T43" s="90">
        <v>336</v>
      </c>
      <c r="U43" s="71">
        <v>43</v>
      </c>
      <c r="V43" s="79">
        <v>781</v>
      </c>
    </row>
    <row r="44" spans="1:22" s="10" customFormat="1" ht="15" customHeight="1">
      <c r="C44" s="34"/>
      <c r="D44" s="27" t="s">
        <v>11</v>
      </c>
      <c r="E44" s="33"/>
      <c r="F44" s="75">
        <f t="shared" ref="F44:I44" si="38">F17</f>
        <v>271417</v>
      </c>
      <c r="G44" s="75">
        <f t="shared" si="38"/>
        <v>23553</v>
      </c>
      <c r="H44" s="72">
        <f t="shared" si="38"/>
        <v>0</v>
      </c>
      <c r="I44" s="75">
        <f t="shared" si="38"/>
        <v>261197</v>
      </c>
      <c r="J44" s="65">
        <f t="shared" si="34"/>
        <v>10.523670020804143</v>
      </c>
      <c r="K44" s="65" t="str">
        <f t="shared" si="35"/>
        <v>n/a</v>
      </c>
      <c r="L44" s="61">
        <f t="shared" si="36"/>
        <v>3.9127555063802388E-2</v>
      </c>
      <c r="M44" s="83">
        <f>+M17-'Mar-22'!M14</f>
        <v>736663</v>
      </c>
      <c r="N44" s="83">
        <f>+N17-'Mar-22'!N14</f>
        <v>28476</v>
      </c>
      <c r="O44" s="83">
        <f>+O17-'Mar-22'!O14</f>
        <v>0</v>
      </c>
      <c r="P44" s="83">
        <f>+P17-'Mar-22'!P14</f>
        <v>1049749</v>
      </c>
      <c r="Q44" s="65">
        <f>IFERROR(M44/N44-1,"n/a")</f>
        <v>24.869609495715689</v>
      </c>
      <c r="R44" s="65" t="str">
        <f>IFERROR(M44/O44-1,"n/a")</f>
        <v>n/a</v>
      </c>
      <c r="S44" s="61">
        <f t="shared" si="37"/>
        <v>-0.29824843843623572</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6" si="39">F19</f>
        <v>60</v>
      </c>
      <c r="G46" s="72">
        <f t="shared" si="39"/>
        <v>0</v>
      </c>
      <c r="H46" s="72">
        <f t="shared" si="39"/>
        <v>1</v>
      </c>
      <c r="I46" s="75">
        <f t="shared" si="39"/>
        <v>32</v>
      </c>
      <c r="J46" s="65" t="str">
        <f t="shared" ref="J46:J47" si="40">IFERROR(F46/G46-1,"n/a")</f>
        <v>n/a</v>
      </c>
      <c r="K46" s="65">
        <f t="shared" ref="K46:K47" si="41">IFERROR(F46/H46-1,"n/a")</f>
        <v>59</v>
      </c>
      <c r="L46" s="61">
        <f>IFERROR(F46/I46-1,"n/a")</f>
        <v>0.875</v>
      </c>
      <c r="M46" s="71">
        <f>+M19-'Mar-22'!M16</f>
        <v>217</v>
      </c>
      <c r="N46" s="83">
        <f>+N19-'Mar-22'!N16</f>
        <v>0</v>
      </c>
      <c r="O46" s="83">
        <f>+O19-'Mar-22'!O16</f>
        <v>1</v>
      </c>
      <c r="P46" s="83">
        <f>+P19-'Mar-22'!P16</f>
        <v>95</v>
      </c>
      <c r="Q46" s="65" t="str">
        <f>IFERROR(M46/N46-1,"n/a")</f>
        <v>n/a</v>
      </c>
      <c r="R46" s="65">
        <f>IFERROR(M46/O46-1,"n/a")</f>
        <v>216</v>
      </c>
      <c r="S46" s="61">
        <f t="shared" ref="S46:S47" si="42">IFERROR(M46/P46-1,"n/a")</f>
        <v>1.2842105263157895</v>
      </c>
      <c r="T46" s="90">
        <v>33</v>
      </c>
      <c r="U46" s="71">
        <v>4</v>
      </c>
      <c r="V46" s="79">
        <v>188</v>
      </c>
    </row>
    <row r="47" spans="1:22" s="10" customFormat="1" ht="15" customHeight="1">
      <c r="C47" s="34"/>
      <c r="D47" s="27" t="s">
        <v>11</v>
      </c>
      <c r="E47" s="33"/>
      <c r="F47" s="75">
        <f t="shared" ref="F47:I47" si="43">F20</f>
        <v>81190</v>
      </c>
      <c r="G47" s="72">
        <f t="shared" si="43"/>
        <v>0</v>
      </c>
      <c r="H47" s="72">
        <f t="shared" si="43"/>
        <v>111</v>
      </c>
      <c r="I47" s="75">
        <f t="shared" si="43"/>
        <v>40651</v>
      </c>
      <c r="J47" s="65" t="str">
        <f t="shared" si="40"/>
        <v>n/a</v>
      </c>
      <c r="K47" s="65">
        <f t="shared" si="41"/>
        <v>730.4414414414415</v>
      </c>
      <c r="L47" s="61">
        <f t="shared" ref="L47" si="44">IFERROR(F47/I47-1,"n/a")</f>
        <v>0.99724484022533266</v>
      </c>
      <c r="M47" s="83">
        <f>+M20-'Mar-22'!M17</f>
        <v>238206</v>
      </c>
      <c r="N47" s="83">
        <f>+N20-'Mar-22'!N17</f>
        <v>0</v>
      </c>
      <c r="O47" s="83">
        <f>+O20-'Mar-22'!O17</f>
        <v>111</v>
      </c>
      <c r="P47" s="83">
        <f>+P20-'Mar-22'!P17</f>
        <v>112053</v>
      </c>
      <c r="Q47" s="65" t="str">
        <f>IFERROR(M47/N47-1,"n/a")</f>
        <v>n/a</v>
      </c>
      <c r="R47" s="65">
        <f>IFERROR(M47/O47-1,"n/a")</f>
        <v>2145</v>
      </c>
      <c r="S47" s="61">
        <f t="shared" si="42"/>
        <v>1.1258333110224625</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49" si="45">F22</f>
        <v>83</v>
      </c>
      <c r="G49" s="75">
        <f t="shared" si="45"/>
        <v>22</v>
      </c>
      <c r="H49" s="72">
        <f t="shared" si="45"/>
        <v>0</v>
      </c>
      <c r="I49" s="75">
        <f t="shared" si="45"/>
        <v>95</v>
      </c>
      <c r="J49" s="65">
        <f t="shared" ref="J49:J50" si="46">IFERROR(F49/G49-1,"n/a")</f>
        <v>2.7727272727272729</v>
      </c>
      <c r="K49" s="65" t="str">
        <f t="shared" ref="K49:K50" si="47">IFERROR(F49/H49-1,"n/a")</f>
        <v>n/a</v>
      </c>
      <c r="L49" s="61">
        <f t="shared" ref="L49:L50" si="48">IFERROR(F49/I49-1,"n/a")</f>
        <v>-0.12631578947368416</v>
      </c>
      <c r="M49" s="71">
        <f>+M22-'Mar-22'!M19</f>
        <v>350</v>
      </c>
      <c r="N49" s="71">
        <f>+N22-'Mar-22'!N19</f>
        <v>29</v>
      </c>
      <c r="O49" s="71">
        <f>+O22-'Mar-22'!O19</f>
        <v>42</v>
      </c>
      <c r="P49" s="71">
        <f>+P22-'Mar-22'!P19</f>
        <v>371</v>
      </c>
      <c r="Q49" s="65">
        <f>IFERROR(M49/N49-1,"n/a")</f>
        <v>11.068965517241379</v>
      </c>
      <c r="R49" s="65">
        <f>IFERROR(M49/O49-1,"n/a")</f>
        <v>7.3333333333333339</v>
      </c>
      <c r="S49" s="61">
        <f>IFERROR(M49/P49-1,"n/a")</f>
        <v>-5.6603773584905648E-2</v>
      </c>
      <c r="T49" s="90">
        <v>744</v>
      </c>
      <c r="U49" s="85">
        <v>406</v>
      </c>
      <c r="V49" s="79">
        <v>1253</v>
      </c>
    </row>
    <row r="50" spans="3:22" s="10" customFormat="1" ht="15" customHeight="1">
      <c r="C50" s="34"/>
      <c r="D50" s="27" t="s">
        <v>11</v>
      </c>
      <c r="E50" s="33"/>
      <c r="F50" s="74">
        <f t="shared" ref="F50:I50" si="49">F23</f>
        <v>288977</v>
      </c>
      <c r="G50" s="75">
        <f t="shared" si="49"/>
        <v>30147</v>
      </c>
      <c r="H50" s="72">
        <f t="shared" si="49"/>
        <v>0</v>
      </c>
      <c r="I50" s="75">
        <f t="shared" si="49"/>
        <v>321844</v>
      </c>
      <c r="J50" s="65">
        <f t="shared" si="46"/>
        <v>8.5855972401897365</v>
      </c>
      <c r="K50" s="65" t="str">
        <f t="shared" si="47"/>
        <v>n/a</v>
      </c>
      <c r="L50" s="61">
        <f t="shared" si="48"/>
        <v>-0.10212090329476398</v>
      </c>
      <c r="M50" s="83">
        <f>+M23-'Mar-22'!M20</f>
        <v>1038712</v>
      </c>
      <c r="N50" s="83">
        <f>+N23-'Mar-22'!N20</f>
        <v>35258</v>
      </c>
      <c r="O50" s="83">
        <f>+O23-'Mar-22'!O20</f>
        <v>0</v>
      </c>
      <c r="P50" s="83">
        <f>+P23-'Mar-22'!P20</f>
        <v>1267874</v>
      </c>
      <c r="Q50" s="65">
        <f>IFERROR(M50/N50-1,"n/a")</f>
        <v>28.460321061886663</v>
      </c>
      <c r="R50" s="65" t="str">
        <f>IFERROR(M50/O50-1,"n/a")</f>
        <v>n/a</v>
      </c>
      <c r="S50" s="61">
        <f t="shared" ref="S50" si="50">IFERROR(M50/P50-1,"n/a")</f>
        <v>-0.18074508981176363</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2" si="51">F25</f>
        <v>33</v>
      </c>
      <c r="G52" s="75">
        <f t="shared" si="51"/>
        <v>9</v>
      </c>
      <c r="H52" s="72">
        <f t="shared" si="51"/>
        <v>0</v>
      </c>
      <c r="I52" s="75">
        <f t="shared" si="51"/>
        <v>36</v>
      </c>
      <c r="J52" s="65">
        <f t="shared" ref="J52:J53" si="52">IFERROR(F52/G52-1,"n/a")</f>
        <v>2.6666666666666665</v>
      </c>
      <c r="K52" s="65" t="str">
        <f t="shared" ref="K52:K53" si="53">IFERROR(F52/H52-1,"n/a")</f>
        <v>n/a</v>
      </c>
      <c r="L52" s="61">
        <f t="shared" ref="L52:L53" si="54">IFERROR(F52/I52-1,"n/a")</f>
        <v>-8.333333333333337E-2</v>
      </c>
      <c r="M52" s="71">
        <f>+M25-'Mar-22'!M22</f>
        <v>133</v>
      </c>
      <c r="N52" s="71">
        <f>+N25-'Mar-22'!N22</f>
        <v>28</v>
      </c>
      <c r="O52" s="83">
        <f>+O25-'Mar-22'!O22</f>
        <v>0</v>
      </c>
      <c r="P52" s="71">
        <f>+P25-'Mar-22'!P22</f>
        <v>149</v>
      </c>
      <c r="Q52" s="65">
        <f>IFERROR(M52/N52-1,"n/a")</f>
        <v>3.75</v>
      </c>
      <c r="R52" s="65" t="str">
        <f>IFERROR(M52/O52-1,"n/a")</f>
        <v>n/a</v>
      </c>
      <c r="S52" s="61">
        <f t="shared" ref="S52:S53" si="55">IFERROR(M52/P52-1,"n/a")</f>
        <v>-0.10738255033557043</v>
      </c>
      <c r="T52" s="90">
        <v>121</v>
      </c>
      <c r="U52" s="71">
        <v>41</v>
      </c>
      <c r="V52" s="79">
        <v>361</v>
      </c>
    </row>
    <row r="53" spans="3:22" s="10" customFormat="1" ht="15" customHeight="1">
      <c r="C53" s="34"/>
      <c r="D53" s="27" t="s">
        <v>11</v>
      </c>
      <c r="E53" s="33"/>
      <c r="F53" s="75">
        <f t="shared" ref="F53:I53" si="56">F26</f>
        <v>73604</v>
      </c>
      <c r="G53" s="75">
        <f t="shared" si="56"/>
        <v>14049</v>
      </c>
      <c r="H53" s="72">
        <f t="shared" si="56"/>
        <v>0</v>
      </c>
      <c r="I53" s="75">
        <f t="shared" si="56"/>
        <v>102764</v>
      </c>
      <c r="J53" s="65">
        <f t="shared" si="52"/>
        <v>4.2390917503025127</v>
      </c>
      <c r="K53" s="65" t="str">
        <f t="shared" si="53"/>
        <v>n/a</v>
      </c>
      <c r="L53" s="61">
        <f t="shared" si="54"/>
        <v>-0.28375695768946319</v>
      </c>
      <c r="M53" s="83">
        <f>+M26-'Mar-22'!M23</f>
        <v>223528</v>
      </c>
      <c r="N53" s="83">
        <f>+N26-'Mar-22'!N23</f>
        <v>37486</v>
      </c>
      <c r="O53" s="83">
        <f>+O26-'Mar-22'!O23</f>
        <v>0</v>
      </c>
      <c r="P53" s="83">
        <f>+P26-'Mar-22'!P23</f>
        <v>400860</v>
      </c>
      <c r="Q53" s="65">
        <f>IFERROR(M53/N53-1,"n/a")</f>
        <v>4.9629728431947928</v>
      </c>
      <c r="R53" s="65" t="str">
        <f>IFERROR(M53/O53-1,"n/a")</f>
        <v>n/a</v>
      </c>
      <c r="S53" s="61">
        <f t="shared" si="55"/>
        <v>-0.44237888539639769</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5" si="57">F28</f>
        <v>65</v>
      </c>
      <c r="G55" s="75">
        <f t="shared" si="57"/>
        <v>16</v>
      </c>
      <c r="H55" s="72">
        <f t="shared" si="57"/>
        <v>1</v>
      </c>
      <c r="I55" s="75">
        <f t="shared" si="57"/>
        <v>46</v>
      </c>
      <c r="J55" s="65">
        <f t="shared" ref="J55:J58" si="58">IFERROR(F55/G55-1,"n/a")</f>
        <v>3.0625</v>
      </c>
      <c r="K55" s="65">
        <f t="shared" ref="K55:K58" si="59">IFERROR(F55/H55-1,"n/a")</f>
        <v>64</v>
      </c>
      <c r="L55" s="61">
        <f t="shared" ref="L55:L58" si="60">IFERROR(F55/I55-1,"n/a")</f>
        <v>0.41304347826086962</v>
      </c>
      <c r="M55" s="71">
        <f>+M28-'Mar-22'!M25</f>
        <v>258</v>
      </c>
      <c r="N55" s="71">
        <f>+N28-'Mar-22'!N25</f>
        <v>37</v>
      </c>
      <c r="O55" s="71">
        <f>+O28-'Mar-22'!O25</f>
        <v>1</v>
      </c>
      <c r="P55" s="71">
        <f>+P28-'Mar-22'!P25</f>
        <v>168</v>
      </c>
      <c r="Q55" s="65">
        <f>IFERROR(M55/N55-1,"n/a")</f>
        <v>5.9729729729729728</v>
      </c>
      <c r="R55" s="65">
        <f>IFERROR(M55/O55-1,"n/a")</f>
        <v>257</v>
      </c>
      <c r="S55" s="61">
        <f t="shared" ref="S55:S58" si="61">IFERROR(M55/P55-1,"n/a")</f>
        <v>0.53571428571428581</v>
      </c>
      <c r="T55" s="90">
        <v>140</v>
      </c>
      <c r="U55" s="71">
        <v>40</v>
      </c>
      <c r="V55" s="79">
        <v>360</v>
      </c>
    </row>
    <row r="56" spans="3:22" ht="15.45" customHeight="1">
      <c r="C56" s="34"/>
      <c r="D56" s="27" t="s">
        <v>11</v>
      </c>
      <c r="E56" s="33"/>
      <c r="F56" s="75">
        <f t="shared" ref="F56:I56" si="62">F29</f>
        <v>138906</v>
      </c>
      <c r="G56" s="75">
        <f t="shared" si="62"/>
        <v>23981</v>
      </c>
      <c r="H56" s="72">
        <f t="shared" si="62"/>
        <v>6081</v>
      </c>
      <c r="I56" s="75">
        <f t="shared" si="62"/>
        <v>131948</v>
      </c>
      <c r="J56" s="65">
        <f t="shared" si="58"/>
        <v>4.792335599015888</v>
      </c>
      <c r="K56" s="65">
        <f t="shared" si="59"/>
        <v>21.842624568327576</v>
      </c>
      <c r="L56" s="61">
        <f t="shared" si="60"/>
        <v>5.2732894776730266E-2</v>
      </c>
      <c r="M56" s="83">
        <f>+M29-'Mar-22'!M26</f>
        <v>347480</v>
      </c>
      <c r="N56" s="83">
        <f>+N29-'Mar-22'!N26</f>
        <v>54494</v>
      </c>
      <c r="O56" s="83">
        <f>+O29-'Mar-22'!O26</f>
        <v>8294</v>
      </c>
      <c r="P56" s="83">
        <f>+P29-'Mar-22'!P26</f>
        <v>437020</v>
      </c>
      <c r="Q56" s="65">
        <f>IFERROR(M56/N56-1,"n/a")</f>
        <v>5.3764818145116893</v>
      </c>
      <c r="R56" s="65">
        <f>IFERROR(M56/O56-1,"n/a")</f>
        <v>40.895346033277065</v>
      </c>
      <c r="S56" s="61">
        <f t="shared" si="61"/>
        <v>-0.20488764816255545</v>
      </c>
      <c r="T56" s="83">
        <v>174336</v>
      </c>
      <c r="U56" s="85">
        <v>21928</v>
      </c>
      <c r="V56" s="79">
        <f>706948+155011</f>
        <v>861959</v>
      </c>
    </row>
    <row r="57" spans="3:22" ht="26.7" customHeight="1" thickBot="1">
      <c r="C57" s="36" t="s">
        <v>12</v>
      </c>
      <c r="D57" s="37"/>
      <c r="E57" s="38"/>
      <c r="F57" s="76">
        <f t="shared" ref="F57:I57" si="63">F40+F43+F46+F49+F52+F55</f>
        <v>313</v>
      </c>
      <c r="G57" s="76">
        <f t="shared" si="63"/>
        <v>63</v>
      </c>
      <c r="H57" s="76">
        <f t="shared" si="63"/>
        <v>2</v>
      </c>
      <c r="I57" s="76">
        <f t="shared" si="63"/>
        <v>283</v>
      </c>
      <c r="J57" s="67">
        <f t="shared" si="58"/>
        <v>3.9682539682539684</v>
      </c>
      <c r="K57" s="67">
        <f t="shared" si="59"/>
        <v>155.5</v>
      </c>
      <c r="L57" s="63">
        <f t="shared" si="60"/>
        <v>0.10600706713780927</v>
      </c>
      <c r="M57" s="47">
        <f t="shared" ref="M57:O57" si="64">M40+M43+M46+M49+M52+M55</f>
        <v>1326</v>
      </c>
      <c r="N57" s="47">
        <f t="shared" si="64"/>
        <v>114</v>
      </c>
      <c r="O57" s="47">
        <f t="shared" si="64"/>
        <v>44</v>
      </c>
      <c r="P57" s="47">
        <f t="shared" ref="P57" si="65">P40+P43+P46+P49+P52+P55</f>
        <v>1170</v>
      </c>
      <c r="Q57" s="67">
        <f>IFERROR(M57/N57-1,"n/a")</f>
        <v>10.631578947368421</v>
      </c>
      <c r="R57" s="67">
        <f>IFERROR(M57/O57-1,"n/a")</f>
        <v>29.136363636363637</v>
      </c>
      <c r="S57" s="63">
        <f t="shared" si="61"/>
        <v>0.1333333333333333</v>
      </c>
      <c r="T57" s="47">
        <f t="shared" ref="T57:V57" si="66">T40+T43+T46+T49+T52+T55</f>
        <v>1682</v>
      </c>
      <c r="U57" s="47">
        <f t="shared" si="66"/>
        <v>679</v>
      </c>
      <c r="V57" s="81">
        <f t="shared" si="66"/>
        <v>3274</v>
      </c>
    </row>
    <row r="58" spans="3:22" ht="26.7" customHeight="1" thickTop="1" thickBot="1">
      <c r="C58" s="39" t="s">
        <v>13</v>
      </c>
      <c r="D58" s="40"/>
      <c r="E58" s="41"/>
      <c r="F58" s="77">
        <f t="shared" ref="F58:I58" si="67">F41+F44+F47+F50+F53+F56</f>
        <v>857239</v>
      </c>
      <c r="G58" s="77">
        <f t="shared" si="67"/>
        <v>92497</v>
      </c>
      <c r="H58" s="77">
        <f t="shared" si="67"/>
        <v>6192</v>
      </c>
      <c r="I58" s="77">
        <f t="shared" si="67"/>
        <v>869024</v>
      </c>
      <c r="J58" s="68">
        <f t="shared" si="58"/>
        <v>8.2677492242991661</v>
      </c>
      <c r="K58" s="68">
        <f t="shared" si="59"/>
        <v>137.44299095607235</v>
      </c>
      <c r="L58" s="64">
        <f t="shared" si="60"/>
        <v>-1.3561190484957852E-2</v>
      </c>
      <c r="M58" s="48">
        <f t="shared" ref="M58:O58" si="68">M41+M44+M47+M50+M53+M56</f>
        <v>2622430</v>
      </c>
      <c r="N58" s="48">
        <f t="shared" si="68"/>
        <v>156481</v>
      </c>
      <c r="O58" s="48">
        <f t="shared" si="68"/>
        <v>8405</v>
      </c>
      <c r="P58" s="48">
        <f t="shared" ref="P58" si="69">P41+P44+P47+P50+P53+P56</f>
        <v>3353700</v>
      </c>
      <c r="Q58" s="68">
        <f>IFERROR(M58/N58-1,"n/a")</f>
        <v>15.758775825819107</v>
      </c>
      <c r="R58" s="68">
        <f>IFERROR(M58/O58-1,"n/a")</f>
        <v>311.0083283759667</v>
      </c>
      <c r="S58" s="64">
        <f t="shared" si="61"/>
        <v>-0.21804872230670602</v>
      </c>
      <c r="T58" s="48">
        <f t="shared" ref="T58:V58" si="70">T41+T44+T47+T50+T53+T56</f>
        <v>2411641</v>
      </c>
      <c r="U58" s="48">
        <f t="shared" si="70"/>
        <v>1324261</v>
      </c>
      <c r="V58" s="82">
        <f t="shared" si="70"/>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48"/>
  <sheetViews>
    <sheetView showGridLines="0" zoomScale="85" zoomScaleNormal="85" workbookViewId="0">
      <selection activeCell="M28" sqref="M28"/>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5546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50</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02" t="s">
        <v>51</v>
      </c>
      <c r="G6" s="102"/>
      <c r="H6" s="102"/>
      <c r="I6" s="102"/>
      <c r="J6" s="102"/>
      <c r="K6" s="102"/>
      <c r="L6" s="103"/>
      <c r="M6" s="104" t="s">
        <v>52</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72">
        <v>1</v>
      </c>
      <c r="G10" s="72">
        <v>0</v>
      </c>
      <c r="H10" s="72">
        <v>0</v>
      </c>
      <c r="I10" s="72">
        <v>5</v>
      </c>
      <c r="J10" s="65" t="str">
        <f t="shared" ref="J10:J28" si="0">IFERROR(F10/G10-1,"n/a")</f>
        <v>n/a</v>
      </c>
      <c r="K10" s="65" t="str">
        <f>IFERROR(F10/H10-1,"n/a")</f>
        <v>n/a</v>
      </c>
      <c r="L10" s="61">
        <f t="shared" ref="L10:L11" si="1">IFERROR(F10/I10-1,"n/a")</f>
        <v>-0.8</v>
      </c>
      <c r="M10" s="69">
        <f>F10+'May-22'!M10</f>
        <v>226</v>
      </c>
      <c r="N10" s="69">
        <f>G10+'May-22'!N10</f>
        <v>0</v>
      </c>
      <c r="O10" s="69">
        <f>H10+'May-22'!O10</f>
        <v>145</v>
      </c>
      <c r="P10" s="69">
        <f>I10+'May-22'!P10</f>
        <v>240</v>
      </c>
      <c r="Q10" s="65" t="str">
        <f>IFERROR(M10/N10-1,"n/a")</f>
        <v>n/a</v>
      </c>
      <c r="R10" s="65">
        <f>IFERROR(M10/O10-1,"n/a")</f>
        <v>0.55862068965517242</v>
      </c>
      <c r="S10" s="61">
        <f>IFERROR(M10/P10-1,"n/a")</f>
        <v>-5.8333333333333348E-2</v>
      </c>
      <c r="T10" s="69">
        <v>111</v>
      </c>
      <c r="U10" s="71">
        <v>145</v>
      </c>
      <c r="V10" s="71">
        <v>386</v>
      </c>
    </row>
    <row r="11" spans="1:38" ht="14.4">
      <c r="A11" s="10"/>
      <c r="B11" s="13"/>
      <c r="C11" s="34"/>
      <c r="D11" s="27" t="s">
        <v>11</v>
      </c>
      <c r="E11" s="33"/>
      <c r="F11" s="72">
        <v>0</v>
      </c>
      <c r="G11" s="72">
        <v>0</v>
      </c>
      <c r="H11" s="72">
        <v>0</v>
      </c>
      <c r="I11" s="72">
        <v>13509</v>
      </c>
      <c r="J11" s="65" t="str">
        <f t="shared" si="0"/>
        <v>n/a</v>
      </c>
      <c r="K11" s="65" t="str">
        <f t="shared" ref="K11" si="2">IFERROR(F11/H11-1,"n/a")</f>
        <v>n/a</v>
      </c>
      <c r="L11" s="61">
        <f t="shared" si="1"/>
        <v>-1</v>
      </c>
      <c r="M11" s="69">
        <f>F11+'May-22'!M11</f>
        <v>191024</v>
      </c>
      <c r="N11" s="69">
        <f>G11+'May-22'!N11</f>
        <v>0</v>
      </c>
      <c r="O11" s="69">
        <f>H11+'May-22'!O11</f>
        <v>258885</v>
      </c>
      <c r="P11" s="69">
        <f>I11+'May-22'!P11</f>
        <v>460904</v>
      </c>
      <c r="Q11" s="65" t="str">
        <f>IFERROR(M11/N11-1,"n/a")</f>
        <v>n/a</v>
      </c>
      <c r="R11" s="65">
        <f>IFERROR(M11/O11-1,"n/a")</f>
        <v>-0.26212797187940595</v>
      </c>
      <c r="S11" s="61">
        <f>IFERROR(M11/P11-1,"n/a")</f>
        <v>-0.58554492909586375</v>
      </c>
      <c r="T11" s="69">
        <v>80863</v>
      </c>
      <c r="U11" s="71">
        <v>258885</v>
      </c>
      <c r="V11" s="71">
        <v>733296</v>
      </c>
    </row>
    <row r="12" spans="1:38" ht="14.4">
      <c r="A12" s="10"/>
      <c r="B12" s="13"/>
      <c r="C12" s="32" t="s">
        <v>74</v>
      </c>
      <c r="D12" s="27"/>
      <c r="E12" s="33"/>
      <c r="F12" s="27"/>
      <c r="G12" s="27"/>
      <c r="H12" s="27"/>
      <c r="I12" s="27"/>
      <c r="J12" s="65"/>
      <c r="K12" s="65"/>
      <c r="L12" s="62"/>
      <c r="M12" s="44"/>
      <c r="N12" s="44"/>
      <c r="O12" s="44"/>
      <c r="P12" s="44"/>
      <c r="Q12" s="65"/>
      <c r="R12" s="66"/>
      <c r="S12" s="62"/>
      <c r="T12" s="44"/>
      <c r="U12" s="45"/>
      <c r="V12" s="45"/>
    </row>
    <row r="13" spans="1:38" ht="14.4">
      <c r="A13" s="10"/>
      <c r="B13" s="13"/>
      <c r="C13" s="34"/>
      <c r="D13" s="27" t="s">
        <v>5</v>
      </c>
      <c r="E13" s="33"/>
      <c r="F13" s="72">
        <v>68</v>
      </c>
      <c r="G13" s="75">
        <v>4</v>
      </c>
      <c r="H13" s="72">
        <v>0</v>
      </c>
      <c r="I13" s="72">
        <v>70</v>
      </c>
      <c r="J13" s="65">
        <f t="shared" si="0"/>
        <v>16</v>
      </c>
      <c r="K13" s="65" t="str">
        <f t="shared" ref="K13:K14" si="3">IFERROR(F13/H13-1,"n/a")</f>
        <v>n/a</v>
      </c>
      <c r="L13" s="61">
        <f t="shared" ref="L13:L14" si="4">IFERROR(F13/I13-1,"n/a")</f>
        <v>-2.8571428571428581E-2</v>
      </c>
      <c r="M13" s="69">
        <f>F13+'May-22'!M13</f>
        <v>320</v>
      </c>
      <c r="N13" s="69">
        <f>G13+'May-22'!N13</f>
        <v>4</v>
      </c>
      <c r="O13" s="69">
        <f>H13+'May-22'!O13</f>
        <v>43</v>
      </c>
      <c r="P13" s="69">
        <f>I13+'May-22'!P13</f>
        <v>362</v>
      </c>
      <c r="Q13" s="65">
        <f t="shared" ref="Q13:Q14" si="5">IFERROR(M13/N13-1,"n/a")</f>
        <v>79</v>
      </c>
      <c r="R13" s="65">
        <f t="shared" ref="R13:R14" si="6">IFERROR(M13/O13-1,"n/a")</f>
        <v>6.441860465116279</v>
      </c>
      <c r="S13" s="61">
        <f t="shared" ref="S13:S14" si="7">IFERROR(M13/P13-1,"n/a")</f>
        <v>-0.11602209944751385</v>
      </c>
      <c r="T13" s="69">
        <v>283</v>
      </c>
      <c r="U13" s="71">
        <v>43</v>
      </c>
      <c r="V13" s="71">
        <v>827</v>
      </c>
    </row>
    <row r="14" spans="1:38" ht="14.4">
      <c r="A14" s="10"/>
      <c r="B14" s="13"/>
      <c r="C14" s="34"/>
      <c r="D14" s="27" t="s">
        <v>11</v>
      </c>
      <c r="E14" s="33"/>
      <c r="F14" s="72">
        <v>182336</v>
      </c>
      <c r="G14" s="75">
        <v>4923</v>
      </c>
      <c r="H14" s="72">
        <v>0</v>
      </c>
      <c r="I14" s="72">
        <v>275367</v>
      </c>
      <c r="J14" s="65">
        <f t="shared" si="0"/>
        <v>36.037578712167381</v>
      </c>
      <c r="K14" s="65" t="str">
        <f t="shared" si="3"/>
        <v>n/a</v>
      </c>
      <c r="L14" s="61">
        <f t="shared" si="4"/>
        <v>-0.33784367771011048</v>
      </c>
      <c r="M14" s="69">
        <f>F14+'May-22'!M14</f>
        <v>533700</v>
      </c>
      <c r="N14" s="69">
        <f>G14+'May-22'!N14</f>
        <v>4923</v>
      </c>
      <c r="O14" s="69">
        <f>H14+'May-22'!O14</f>
        <v>140552</v>
      </c>
      <c r="P14" s="69">
        <f>I14+'May-22'!P14</f>
        <v>1040452</v>
      </c>
      <c r="Q14" s="65">
        <f t="shared" si="5"/>
        <v>107.40950639853747</v>
      </c>
      <c r="R14" s="65">
        <f t="shared" si="6"/>
        <v>2.7971711537366954</v>
      </c>
      <c r="S14" s="61">
        <f t="shared" si="7"/>
        <v>-0.487049859099699</v>
      </c>
      <c r="T14" s="69">
        <v>465109</v>
      </c>
      <c r="U14" s="71">
        <v>140552</v>
      </c>
      <c r="V14" s="71">
        <v>2552942</v>
      </c>
    </row>
    <row r="15" spans="1:38" ht="14.4">
      <c r="A15" s="10"/>
      <c r="B15" s="13"/>
      <c r="C15" s="32" t="s">
        <v>15</v>
      </c>
      <c r="D15" s="27"/>
      <c r="E15" s="33"/>
      <c r="F15" s="73"/>
      <c r="G15" s="73"/>
      <c r="H15" s="73"/>
      <c r="I15" s="73"/>
      <c r="J15" s="65"/>
      <c r="K15" s="65"/>
      <c r="L15" s="61"/>
      <c r="M15" s="44"/>
      <c r="N15" s="44"/>
      <c r="O15" s="44"/>
      <c r="P15" s="44"/>
      <c r="Q15" s="65"/>
      <c r="R15" s="65"/>
      <c r="S15" s="61"/>
      <c r="T15" s="44"/>
      <c r="U15" s="45"/>
      <c r="V15" s="45"/>
    </row>
    <row r="16" spans="1:38" ht="14.4">
      <c r="A16" s="10"/>
      <c r="B16" s="13"/>
      <c r="C16" s="34"/>
      <c r="D16" s="27" t="s">
        <v>5</v>
      </c>
      <c r="E16" s="33"/>
      <c r="F16" s="72">
        <v>63</v>
      </c>
      <c r="G16" s="72">
        <v>0</v>
      </c>
      <c r="H16" s="72">
        <v>0</v>
      </c>
      <c r="I16" s="72">
        <v>27</v>
      </c>
      <c r="J16" s="65" t="str">
        <f t="shared" si="0"/>
        <v>n/a</v>
      </c>
      <c r="K16" s="65" t="str">
        <f t="shared" ref="K16:K17" si="8">IFERROR(F16/H16-1,"n/a")</f>
        <v>n/a</v>
      </c>
      <c r="L16" s="61">
        <f>IFERROR(F16/I16-1,"n/a")</f>
        <v>1.3333333333333335</v>
      </c>
      <c r="M16" s="69">
        <f>F16+'May-22'!M16</f>
        <v>167</v>
      </c>
      <c r="N16" s="69">
        <f>G16+'May-22'!N16</f>
        <v>0</v>
      </c>
      <c r="O16" s="69">
        <f>H16+'May-22'!O16</f>
        <v>3</v>
      </c>
      <c r="P16" s="69">
        <f>I16+'May-22'!P16</f>
        <v>69</v>
      </c>
      <c r="Q16" s="65" t="str">
        <f t="shared" ref="Q16:Q17" si="9">IFERROR(M16/N16-1,"n/a")</f>
        <v>n/a</v>
      </c>
      <c r="R16" s="65">
        <f t="shared" ref="R16:R17" si="10">IFERROR(M16/O16-1,"n/a")</f>
        <v>54.666666666666664</v>
      </c>
      <c r="S16" s="61">
        <f t="shared" ref="S16:S17" si="11">IFERROR(M16/P16-1,"n/a")</f>
        <v>1.4202898550724639</v>
      </c>
      <c r="T16" s="69">
        <v>23</v>
      </c>
      <c r="U16" s="71">
        <v>4</v>
      </c>
      <c r="V16" s="71">
        <v>191</v>
      </c>
    </row>
    <row r="17" spans="1:38" ht="14.4">
      <c r="A17" s="10"/>
      <c r="B17" s="13"/>
      <c r="C17" s="34"/>
      <c r="D17" s="27" t="s">
        <v>11</v>
      </c>
      <c r="E17" s="33"/>
      <c r="F17" s="72">
        <f>68807+7503</f>
        <v>76310</v>
      </c>
      <c r="G17" s="72">
        <v>0</v>
      </c>
      <c r="H17" s="72">
        <v>0</v>
      </c>
      <c r="I17" s="74">
        <f>22769+11039</f>
        <v>33808</v>
      </c>
      <c r="J17" s="65" t="str">
        <f t="shared" si="0"/>
        <v>n/a</v>
      </c>
      <c r="K17" s="65" t="str">
        <f t="shared" si="8"/>
        <v>n/a</v>
      </c>
      <c r="L17" s="61">
        <f t="shared" ref="L17:L28" si="12">IFERROR(F17/I17-1,"n/a")</f>
        <v>1.257158069096072</v>
      </c>
      <c r="M17" s="69">
        <f>F17+'May-22'!M17</f>
        <v>158488</v>
      </c>
      <c r="N17" s="69">
        <f>G17+'May-22'!N17</f>
        <v>0</v>
      </c>
      <c r="O17" s="69">
        <f>H17+'May-22'!O17</f>
        <v>1642</v>
      </c>
      <c r="P17" s="69">
        <f>I17+'May-22'!P17</f>
        <v>76540</v>
      </c>
      <c r="Q17" s="65" t="str">
        <f t="shared" si="9"/>
        <v>n/a</v>
      </c>
      <c r="R17" s="65">
        <f t="shared" si="10"/>
        <v>95.521315468940315</v>
      </c>
      <c r="S17" s="61">
        <f t="shared" si="11"/>
        <v>1.0706558662137446</v>
      </c>
      <c r="T17" s="69">
        <v>8611</v>
      </c>
      <c r="U17" s="71">
        <v>1753</v>
      </c>
      <c r="V17" s="71">
        <v>254421</v>
      </c>
    </row>
    <row r="18" spans="1:38" ht="14.4">
      <c r="A18" s="10"/>
      <c r="B18" s="13"/>
      <c r="C18" s="32" t="s">
        <v>10</v>
      </c>
      <c r="D18" s="27"/>
      <c r="E18" s="35"/>
      <c r="F18" s="73"/>
      <c r="G18" s="73"/>
      <c r="H18" s="73"/>
      <c r="I18" s="73"/>
      <c r="J18" s="65"/>
      <c r="K18" s="65"/>
      <c r="L18" s="61"/>
      <c r="M18" s="44"/>
      <c r="N18" s="44"/>
      <c r="O18" s="44"/>
      <c r="P18" s="44"/>
      <c r="Q18" s="65"/>
      <c r="R18" s="65"/>
      <c r="S18" s="61"/>
      <c r="T18" s="44"/>
      <c r="U18" s="45"/>
      <c r="V18" s="45"/>
    </row>
    <row r="19" spans="1:38" ht="14.4">
      <c r="A19" s="10"/>
      <c r="B19" s="13"/>
      <c r="C19" s="34"/>
      <c r="D19" s="27" t="s">
        <v>5</v>
      </c>
      <c r="E19" s="35"/>
      <c r="F19" s="75">
        <v>76</v>
      </c>
      <c r="G19" s="72">
        <v>7</v>
      </c>
      <c r="H19" s="72">
        <v>0</v>
      </c>
      <c r="I19" s="72">
        <v>92</v>
      </c>
      <c r="J19" s="65">
        <f t="shared" si="0"/>
        <v>9.8571428571428577</v>
      </c>
      <c r="K19" s="65" t="str">
        <f t="shared" ref="K19:K20" si="13">IFERROR(F19/H19-1,"n/a")</f>
        <v>n/a</v>
      </c>
      <c r="L19" s="61">
        <f t="shared" si="12"/>
        <v>-0.17391304347826086</v>
      </c>
      <c r="M19" s="69">
        <f>F19+'May-22'!M19</f>
        <v>600</v>
      </c>
      <c r="N19" s="69">
        <f>G19+'May-22'!N19</f>
        <v>7</v>
      </c>
      <c r="O19" s="69">
        <f>H19+'May-22'!O19</f>
        <v>406</v>
      </c>
      <c r="P19" s="69">
        <f>I19+'May-22'!P19</f>
        <v>592</v>
      </c>
      <c r="Q19" s="65">
        <f t="shared" ref="Q19:Q20" si="14">IFERROR(M19/N19-1,"n/a")</f>
        <v>84.714285714285708</v>
      </c>
      <c r="R19" s="65">
        <f t="shared" ref="R19:R20" si="15">IFERROR(M19/O19-1,"n/a")</f>
        <v>0.47783251231527091</v>
      </c>
      <c r="S19" s="61">
        <f t="shared" ref="S19:S20" si="16">IFERROR(M19/P19-1,"n/a")</f>
        <v>1.3513513513513598E-2</v>
      </c>
      <c r="T19" s="69">
        <v>411</v>
      </c>
      <c r="U19" s="71">
        <v>406</v>
      </c>
      <c r="V19" s="71">
        <v>1205</v>
      </c>
    </row>
    <row r="20" spans="1:38" ht="14.4">
      <c r="A20" s="10"/>
      <c r="B20" s="13"/>
      <c r="C20" s="34"/>
      <c r="D20" s="27" t="s">
        <v>11</v>
      </c>
      <c r="E20" s="33"/>
      <c r="F20" s="75">
        <v>251675</v>
      </c>
      <c r="G20" s="72">
        <v>5111</v>
      </c>
      <c r="H20" s="72">
        <v>0</v>
      </c>
      <c r="I20" s="75">
        <v>310947</v>
      </c>
      <c r="J20" s="65">
        <f t="shared" si="0"/>
        <v>48.241831344159657</v>
      </c>
      <c r="K20" s="65" t="str">
        <f t="shared" si="13"/>
        <v>n/a</v>
      </c>
      <c r="L20" s="61">
        <f t="shared" si="12"/>
        <v>-0.19061769369056458</v>
      </c>
      <c r="M20" s="69">
        <f>F20+'May-22'!M20</f>
        <v>1353065</v>
      </c>
      <c r="N20" s="69">
        <f>G20+'May-22'!N20</f>
        <v>5111</v>
      </c>
      <c r="O20" s="69">
        <f>H20+'May-22'!O20</f>
        <v>833999</v>
      </c>
      <c r="P20" s="69">
        <f>I20+'May-22'!P20</f>
        <v>2011754</v>
      </c>
      <c r="Q20" s="65">
        <f t="shared" si="14"/>
        <v>263.73586382312658</v>
      </c>
      <c r="R20" s="65">
        <f t="shared" si="15"/>
        <v>0.62238204122546903</v>
      </c>
      <c r="S20" s="61">
        <f t="shared" si="16"/>
        <v>-0.32742025118379281</v>
      </c>
      <c r="T20" s="69">
        <v>687449</v>
      </c>
      <c r="U20" s="71">
        <v>833999</v>
      </c>
      <c r="V20" s="71">
        <v>3859183</v>
      </c>
    </row>
    <row r="21" spans="1:38" ht="14.4">
      <c r="A21" s="10"/>
      <c r="B21" s="13"/>
      <c r="C21" s="32" t="s">
        <v>16</v>
      </c>
      <c r="D21" s="27"/>
      <c r="E21" s="33"/>
      <c r="F21" s="73"/>
      <c r="G21" s="73"/>
      <c r="H21" s="73"/>
      <c r="I21" s="73"/>
      <c r="J21" s="65"/>
      <c r="K21" s="65"/>
      <c r="L21" s="61"/>
      <c r="M21" s="44"/>
      <c r="N21" s="44"/>
      <c r="O21" s="44"/>
      <c r="P21" s="44"/>
      <c r="Q21" s="65"/>
      <c r="R21" s="65"/>
      <c r="S21" s="61"/>
      <c r="T21" s="44"/>
      <c r="U21" s="45"/>
      <c r="V21" s="45"/>
    </row>
    <row r="22" spans="1:38" ht="14.4">
      <c r="A22" s="10"/>
      <c r="B22" s="13"/>
      <c r="C22" s="34"/>
      <c r="D22" s="27" t="s">
        <v>5</v>
      </c>
      <c r="E22" s="33"/>
      <c r="F22" s="75">
        <v>40</v>
      </c>
      <c r="G22" s="75">
        <v>5</v>
      </c>
      <c r="H22" s="72">
        <v>0</v>
      </c>
      <c r="I22" s="75">
        <v>40</v>
      </c>
      <c r="J22" s="65">
        <f t="shared" si="0"/>
        <v>7</v>
      </c>
      <c r="K22" s="65" t="str">
        <f t="shared" ref="K22:K23" si="17">IFERROR(F22/H22-1,"n/a")</f>
        <v>n/a</v>
      </c>
      <c r="L22" s="61">
        <f t="shared" si="12"/>
        <v>0</v>
      </c>
      <c r="M22" s="69">
        <f>F22+'May-22'!M22</f>
        <v>123</v>
      </c>
      <c r="N22" s="69">
        <f>G22+'May-22'!N22</f>
        <v>28</v>
      </c>
      <c r="O22" s="69">
        <f>H22+'May-22'!O22</f>
        <v>9</v>
      </c>
      <c r="P22" s="69">
        <f>I22+'May-22'!P22</f>
        <v>133</v>
      </c>
      <c r="Q22" s="65">
        <f t="shared" ref="Q22:Q23" si="18">IFERROR(M22/N22-1,"n/a")</f>
        <v>3.3928571428571432</v>
      </c>
      <c r="R22" s="65">
        <f t="shared" ref="R22:R23" si="19">IFERROR(M22/O22-1,"n/a")</f>
        <v>12.666666666666666</v>
      </c>
      <c r="S22" s="61">
        <f t="shared" ref="S22:S23" si="20">IFERROR(M22/P22-1,"n/a")</f>
        <v>-7.5187969924812026E-2</v>
      </c>
      <c r="T22" s="69">
        <v>107</v>
      </c>
      <c r="U22" s="71">
        <v>32</v>
      </c>
      <c r="V22" s="71">
        <v>372</v>
      </c>
    </row>
    <row r="23" spans="1:38" ht="14.4">
      <c r="A23" s="10"/>
      <c r="B23" s="13"/>
      <c r="C23" s="34"/>
      <c r="D23" s="27" t="s">
        <v>11</v>
      </c>
      <c r="E23" s="33"/>
      <c r="F23" s="75">
        <v>70422</v>
      </c>
      <c r="G23" s="75">
        <v>5859</v>
      </c>
      <c r="H23" s="72">
        <v>0</v>
      </c>
      <c r="I23" s="75">
        <v>102192</v>
      </c>
      <c r="J23" s="65">
        <f t="shared" si="0"/>
        <v>11.019457245263697</v>
      </c>
      <c r="K23" s="65" t="str">
        <f t="shared" si="17"/>
        <v>n/a</v>
      </c>
      <c r="L23" s="61">
        <f t="shared" si="12"/>
        <v>-0.31088539220291211</v>
      </c>
      <c r="M23" s="69">
        <f>F23+'May-22'!M23</f>
        <v>176445</v>
      </c>
      <c r="N23" s="69">
        <f>G23+'May-22'!N23</f>
        <v>31401</v>
      </c>
      <c r="O23" s="69">
        <f>H23+'May-22'!O23</f>
        <v>40221</v>
      </c>
      <c r="P23" s="69">
        <f>I23+'May-22'!P23</f>
        <v>374371</v>
      </c>
      <c r="Q23" s="65">
        <f t="shared" si="18"/>
        <v>4.6190885640584698</v>
      </c>
      <c r="R23" s="65">
        <f t="shared" si="19"/>
        <v>3.3868874468561199</v>
      </c>
      <c r="S23" s="61">
        <f t="shared" si="20"/>
        <v>-0.52868945511270904</v>
      </c>
      <c r="T23" s="69">
        <v>147132</v>
      </c>
      <c r="U23" s="71">
        <v>59180</v>
      </c>
      <c r="V23" s="71">
        <v>902015</v>
      </c>
    </row>
    <row r="24" spans="1:38" ht="14.4">
      <c r="A24" s="10"/>
      <c r="B24" s="13"/>
      <c r="C24" s="32" t="s">
        <v>17</v>
      </c>
      <c r="D24" s="27"/>
      <c r="E24" s="33"/>
      <c r="F24" s="73"/>
      <c r="G24" s="73"/>
      <c r="H24" s="73"/>
      <c r="I24" s="73"/>
      <c r="J24" s="65"/>
      <c r="K24" s="65"/>
      <c r="L24" s="61"/>
      <c r="M24" s="44"/>
      <c r="N24" s="44"/>
      <c r="O24" s="44"/>
      <c r="P24" s="44"/>
      <c r="Q24" s="65"/>
      <c r="R24" s="65"/>
      <c r="S24" s="61"/>
      <c r="T24" s="44"/>
      <c r="U24" s="45"/>
      <c r="V24" s="45"/>
    </row>
    <row r="25" spans="1:38" ht="14.4">
      <c r="B25" s="13"/>
      <c r="C25" s="34"/>
      <c r="D25" s="27" t="s">
        <v>5</v>
      </c>
      <c r="E25" s="33"/>
      <c r="F25" s="75">
        <v>80</v>
      </c>
      <c r="G25" s="75">
        <v>10</v>
      </c>
      <c r="H25" s="72">
        <v>0</v>
      </c>
      <c r="I25" s="75">
        <v>46</v>
      </c>
      <c r="J25" s="65">
        <f t="shared" si="0"/>
        <v>7</v>
      </c>
      <c r="K25" s="65" t="str">
        <f t="shared" ref="K25:K28" si="21">IFERROR(F25/H25-1,"n/a")</f>
        <v>n/a</v>
      </c>
      <c r="L25" s="61">
        <f t="shared" si="12"/>
        <v>0.73913043478260865</v>
      </c>
      <c r="M25" s="69">
        <f>F25+'May-22'!M25</f>
        <v>209</v>
      </c>
      <c r="N25" s="69">
        <f>G25+'May-22'!N25</f>
        <v>24</v>
      </c>
      <c r="O25" s="69">
        <f>H25+'May-22'!O25</f>
        <v>1</v>
      </c>
      <c r="P25" s="69">
        <f>I25+'May-22'!P25</f>
        <v>126</v>
      </c>
      <c r="Q25" s="65">
        <f t="shared" ref="Q25:Q28" si="22">IFERROR(M25/N25-1,"n/a")</f>
        <v>7.7083333333333339</v>
      </c>
      <c r="R25" s="65">
        <f t="shared" ref="R25:R28" si="23">IFERROR(M25/O25-1,"n/a")</f>
        <v>208</v>
      </c>
      <c r="S25" s="61">
        <f t="shared" ref="S25:S28" si="24">IFERROR(M25/P25-1,"n/a")</f>
        <v>0.65873015873015883</v>
      </c>
      <c r="T25" s="69">
        <v>124</v>
      </c>
      <c r="U25" s="71">
        <v>37</v>
      </c>
      <c r="V25" s="71">
        <f>282+81</f>
        <v>363</v>
      </c>
    </row>
    <row r="26" spans="1:38" ht="14.4">
      <c r="A26" s="10"/>
      <c r="B26" s="13"/>
      <c r="C26" s="34"/>
      <c r="D26" s="27" t="s">
        <v>11</v>
      </c>
      <c r="E26" s="33"/>
      <c r="F26" s="75">
        <f>77597+19398</f>
        <v>96995</v>
      </c>
      <c r="G26" s="75">
        <v>17608</v>
      </c>
      <c r="H26" s="72">
        <v>2213</v>
      </c>
      <c r="I26" s="75">
        <f>96544+20022</f>
        <v>116566</v>
      </c>
      <c r="J26" s="65">
        <f t="shared" si="0"/>
        <v>4.508575647432985</v>
      </c>
      <c r="K26" s="65">
        <f t="shared" si="21"/>
        <v>42.829643018526887</v>
      </c>
      <c r="L26" s="61">
        <f t="shared" si="12"/>
        <v>-0.1678962990923597</v>
      </c>
      <c r="M26" s="69">
        <f>F26+'May-22'!M26</f>
        <v>220174</v>
      </c>
      <c r="N26" s="69">
        <f>G26+'May-22'!N26</f>
        <v>32652</v>
      </c>
      <c r="O26" s="69">
        <f>H26+'May-22'!O26</f>
        <v>3105</v>
      </c>
      <c r="P26" s="69">
        <f>I26+'May-22'!P26</f>
        <v>311181</v>
      </c>
      <c r="Q26" s="65">
        <f t="shared" si="22"/>
        <v>5.7430478990567195</v>
      </c>
      <c r="R26" s="65">
        <f t="shared" si="23"/>
        <v>69.909500805152973</v>
      </c>
      <c r="S26" s="61">
        <f t="shared" si="24"/>
        <v>-0.29245680166848231</v>
      </c>
      <c r="T26" s="69">
        <v>165083</v>
      </c>
      <c r="U26" s="71">
        <f>20768+8294</f>
        <v>29062</v>
      </c>
      <c r="V26" s="71">
        <f>659951+168729+38484</f>
        <v>867164</v>
      </c>
    </row>
    <row r="27" spans="1:38" ht="15" thickBot="1">
      <c r="A27" s="10"/>
      <c r="B27" s="13"/>
      <c r="C27" s="36" t="s">
        <v>12</v>
      </c>
      <c r="D27" s="37"/>
      <c r="E27" s="38"/>
      <c r="F27" s="76">
        <f t="shared" ref="F27:I28" si="25">F10+F13+F16+F19+F22+F25</f>
        <v>328</v>
      </c>
      <c r="G27" s="76">
        <f t="shared" si="25"/>
        <v>26</v>
      </c>
      <c r="H27" s="76">
        <f t="shared" si="25"/>
        <v>0</v>
      </c>
      <c r="I27" s="76">
        <f t="shared" si="25"/>
        <v>280</v>
      </c>
      <c r="J27" s="67">
        <f t="shared" si="0"/>
        <v>11.615384615384615</v>
      </c>
      <c r="K27" s="67" t="str">
        <f t="shared" si="21"/>
        <v>n/a</v>
      </c>
      <c r="L27" s="63">
        <f t="shared" si="12"/>
        <v>0.17142857142857149</v>
      </c>
      <c r="M27" s="47">
        <f t="shared" ref="M27:P28" si="26">M10+M13+M16+M19+M22+M25</f>
        <v>1645</v>
      </c>
      <c r="N27" s="47">
        <f t="shared" si="26"/>
        <v>63</v>
      </c>
      <c r="O27" s="47">
        <f t="shared" si="26"/>
        <v>607</v>
      </c>
      <c r="P27" s="47">
        <f t="shared" si="26"/>
        <v>1522</v>
      </c>
      <c r="Q27" s="67">
        <f t="shared" si="22"/>
        <v>25.111111111111111</v>
      </c>
      <c r="R27" s="67">
        <f t="shared" si="23"/>
        <v>1.7100494233937398</v>
      </c>
      <c r="S27" s="63">
        <f t="shared" si="24"/>
        <v>8.0814717477003972E-2</v>
      </c>
      <c r="T27" s="47">
        <f t="shared" ref="T27:V28" si="27">T10+T13+T16+T19+T22+T25</f>
        <v>1059</v>
      </c>
      <c r="U27" s="47">
        <f t="shared" si="27"/>
        <v>667</v>
      </c>
      <c r="V27" s="47">
        <f t="shared" si="27"/>
        <v>3344</v>
      </c>
    </row>
    <row r="28" spans="1:38" s="23" customFormat="1" ht="15.6" thickTop="1" thickBot="1">
      <c r="A28" s="10"/>
      <c r="B28" s="13"/>
      <c r="C28" s="39" t="s">
        <v>13</v>
      </c>
      <c r="D28" s="40"/>
      <c r="E28" s="41"/>
      <c r="F28" s="77">
        <f t="shared" si="25"/>
        <v>677738</v>
      </c>
      <c r="G28" s="77">
        <f t="shared" si="25"/>
        <v>33501</v>
      </c>
      <c r="H28" s="77">
        <f t="shared" si="25"/>
        <v>2213</v>
      </c>
      <c r="I28" s="77">
        <f t="shared" si="25"/>
        <v>852389</v>
      </c>
      <c r="J28" s="68">
        <f t="shared" si="0"/>
        <v>19.230381182651264</v>
      </c>
      <c r="K28" s="68">
        <f t="shared" si="21"/>
        <v>305.25305015815633</v>
      </c>
      <c r="L28" s="64">
        <f t="shared" si="12"/>
        <v>-0.20489588673715875</v>
      </c>
      <c r="M28" s="48">
        <f t="shared" si="26"/>
        <v>2632896</v>
      </c>
      <c r="N28" s="48">
        <f t="shared" si="26"/>
        <v>74087</v>
      </c>
      <c r="O28" s="48">
        <f t="shared" si="26"/>
        <v>1278404</v>
      </c>
      <c r="P28" s="48">
        <f t="shared" si="26"/>
        <v>4275202</v>
      </c>
      <c r="Q28" s="68">
        <f t="shared" si="22"/>
        <v>34.537894637385776</v>
      </c>
      <c r="R28" s="68">
        <f t="shared" si="23"/>
        <v>1.0595179614581931</v>
      </c>
      <c r="S28" s="64">
        <f t="shared" si="24"/>
        <v>-0.38414699469171276</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L48"/>
  <sheetViews>
    <sheetView showGridLines="0" zoomScale="79" zoomScaleNormal="79" workbookViewId="0">
      <selection activeCell="G24" sqref="G24"/>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48</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02" t="s">
        <v>47</v>
      </c>
      <c r="G6" s="102"/>
      <c r="H6" s="102"/>
      <c r="I6" s="102"/>
      <c r="J6" s="102"/>
      <c r="K6" s="102"/>
      <c r="L6" s="103"/>
      <c r="M6" s="104" t="s">
        <v>49</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3</v>
      </c>
      <c r="G10" s="69">
        <v>0</v>
      </c>
      <c r="H10" s="69">
        <v>0</v>
      </c>
      <c r="I10" s="69">
        <v>8</v>
      </c>
      <c r="J10" s="65" t="str">
        <f t="shared" ref="J10:J28" si="0">IFERROR(F10/G10-1,"n/a")</f>
        <v>n/a</v>
      </c>
      <c r="K10" s="65" t="str">
        <f>IFERROR(F10/H10-1,"n/a")</f>
        <v>n/a</v>
      </c>
      <c r="L10" s="61">
        <f t="shared" ref="L10:L11" si="1">IFERROR(F10/I10-1,"n/a")</f>
        <v>-0.625</v>
      </c>
      <c r="M10" s="69">
        <f>F10+'Apr-22'!M10</f>
        <v>225</v>
      </c>
      <c r="N10" s="69">
        <f>G10+'Apr-22'!N10</f>
        <v>0</v>
      </c>
      <c r="O10" s="69">
        <f>H10+'Apr-22'!O10</f>
        <v>145</v>
      </c>
      <c r="P10" s="69">
        <f>I10+'Apr-22'!P10</f>
        <v>235</v>
      </c>
      <c r="Q10" s="65" t="str">
        <f>IFERROR(M10/N10-1,"n/a")</f>
        <v>n/a</v>
      </c>
      <c r="R10" s="65">
        <f>IFERROR(M10/O10-1,"n/a")</f>
        <v>0.55172413793103448</v>
      </c>
      <c r="S10" s="61">
        <f>IFERROR(M10/P10-1,"n/a")</f>
        <v>-4.2553191489361653E-2</v>
      </c>
      <c r="T10" s="69">
        <v>111</v>
      </c>
      <c r="U10" s="71">
        <v>145</v>
      </c>
      <c r="V10" s="71">
        <v>386</v>
      </c>
    </row>
    <row r="11" spans="1:38" ht="14.4">
      <c r="A11" s="10"/>
      <c r="B11" s="13"/>
      <c r="C11" s="34"/>
      <c r="D11" s="27" t="s">
        <v>11</v>
      </c>
      <c r="E11" s="33"/>
      <c r="F11" s="69">
        <v>3881</v>
      </c>
      <c r="G11" s="69">
        <v>0</v>
      </c>
      <c r="H11" s="69">
        <v>0</v>
      </c>
      <c r="I11" s="69">
        <v>15340</v>
      </c>
      <c r="J11" s="65" t="str">
        <f t="shared" si="0"/>
        <v>n/a</v>
      </c>
      <c r="K11" s="65" t="str">
        <f t="shared" ref="K11" si="2">IFERROR(F11/H11-1,"n/a")</f>
        <v>n/a</v>
      </c>
      <c r="L11" s="61">
        <f t="shared" si="1"/>
        <v>-0.74700130378096485</v>
      </c>
      <c r="M11" s="69">
        <f>F11+'Apr-22'!M11</f>
        <v>191024</v>
      </c>
      <c r="N11" s="69">
        <f>G11+'Apr-22'!N11</f>
        <v>0</v>
      </c>
      <c r="O11" s="69">
        <f>H11+'Apr-22'!O11</f>
        <v>258885</v>
      </c>
      <c r="P11" s="69">
        <f>I11+'Apr-22'!P11</f>
        <v>447395</v>
      </c>
      <c r="Q11" s="65" t="str">
        <f>IFERROR(M11/N11-1,"n/a")</f>
        <v>n/a</v>
      </c>
      <c r="R11" s="65">
        <f>IFERROR(M11/O11-1,"n/a")</f>
        <v>-0.26212797187940595</v>
      </c>
      <c r="S11" s="61">
        <f>IFERROR(M11/P11-1,"n/a")</f>
        <v>-0.57303054347947557</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103</v>
      </c>
      <c r="G13" s="69">
        <v>0</v>
      </c>
      <c r="H13" s="69">
        <v>0</v>
      </c>
      <c r="I13" s="69">
        <v>113</v>
      </c>
      <c r="J13" s="65" t="str">
        <f t="shared" si="0"/>
        <v>n/a</v>
      </c>
      <c r="K13" s="65" t="str">
        <f t="shared" ref="K13:K14" si="3">IFERROR(F13/H13-1,"n/a")</f>
        <v>n/a</v>
      </c>
      <c r="L13" s="61">
        <f t="shared" ref="L13:L14" si="4">IFERROR(F13/I13-1,"n/a")</f>
        <v>-8.8495575221238965E-2</v>
      </c>
      <c r="M13" s="69">
        <f>F13+'Apr-22'!M13</f>
        <v>252</v>
      </c>
      <c r="N13" s="69">
        <f>G13+'Apr-22'!N13</f>
        <v>0</v>
      </c>
      <c r="O13" s="69">
        <f>H13+'Apr-22'!O13</f>
        <v>43</v>
      </c>
      <c r="P13" s="69">
        <f>I13+'Apr-22'!P13</f>
        <v>292</v>
      </c>
      <c r="Q13" s="65" t="str">
        <f t="shared" ref="Q13:Q14" si="5">IFERROR(M13/N13-1,"n/a")</f>
        <v>n/a</v>
      </c>
      <c r="R13" s="65">
        <f t="shared" ref="R13:R14" si="6">IFERROR(M13/O13-1,"n/a")</f>
        <v>4.8604651162790695</v>
      </c>
      <c r="S13" s="61">
        <f t="shared" ref="S13:S14" si="7">IFERROR(M13/P13-1,"n/a")</f>
        <v>-0.13698630136986301</v>
      </c>
      <c r="T13" s="69">
        <v>283</v>
      </c>
      <c r="U13" s="71">
        <v>43</v>
      </c>
      <c r="V13" s="71">
        <v>827</v>
      </c>
    </row>
    <row r="14" spans="1:38" ht="14.4">
      <c r="A14" s="10"/>
      <c r="B14" s="13"/>
      <c r="C14" s="34"/>
      <c r="D14" s="27" t="s">
        <v>11</v>
      </c>
      <c r="E14" s="33"/>
      <c r="F14" s="69">
        <v>168018</v>
      </c>
      <c r="G14" s="69">
        <v>0</v>
      </c>
      <c r="H14" s="69">
        <v>0</v>
      </c>
      <c r="I14" s="69">
        <v>300445</v>
      </c>
      <c r="J14" s="65" t="str">
        <f t="shared" si="0"/>
        <v>n/a</v>
      </c>
      <c r="K14" s="65" t="str">
        <f t="shared" si="3"/>
        <v>n/a</v>
      </c>
      <c r="L14" s="61">
        <f t="shared" si="4"/>
        <v>-0.44076952520428037</v>
      </c>
      <c r="M14" s="69">
        <f>F14+'Apr-22'!M14</f>
        <v>351364</v>
      </c>
      <c r="N14" s="69">
        <f>G14+'Apr-22'!N14</f>
        <v>0</v>
      </c>
      <c r="O14" s="69">
        <f>H14+'Apr-22'!O14</f>
        <v>140552</v>
      </c>
      <c r="P14" s="69">
        <f>I14+'Apr-22'!P14</f>
        <v>765085</v>
      </c>
      <c r="Q14" s="65" t="str">
        <f t="shared" si="5"/>
        <v>n/a</v>
      </c>
      <c r="R14" s="65">
        <f t="shared" si="6"/>
        <v>1.4998861631282372</v>
      </c>
      <c r="S14" s="61">
        <f t="shared" si="7"/>
        <v>-0.54075168118575068</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68</v>
      </c>
      <c r="G16" s="69">
        <v>0</v>
      </c>
      <c r="H16" s="69">
        <v>0</v>
      </c>
      <c r="I16" s="69">
        <v>23</v>
      </c>
      <c r="J16" s="65" t="str">
        <f t="shared" si="0"/>
        <v>n/a</v>
      </c>
      <c r="K16" s="65" t="str">
        <f t="shared" ref="K16:K17" si="8">IFERROR(F16/H16-1,"n/a")</f>
        <v>n/a</v>
      </c>
      <c r="L16" s="61">
        <f>IFERROR(F16/I16-1,"n/a")</f>
        <v>1.9565217391304346</v>
      </c>
      <c r="M16" s="69">
        <f>F16+'Apr-22'!M16</f>
        <v>104</v>
      </c>
      <c r="N16" s="69">
        <f>G16+'Apr-22'!N16</f>
        <v>0</v>
      </c>
      <c r="O16" s="69">
        <f>H16+'Apr-22'!O16</f>
        <v>3</v>
      </c>
      <c r="P16" s="69">
        <f>I16+'Apr-22'!P16</f>
        <v>42</v>
      </c>
      <c r="Q16" s="65" t="str">
        <f t="shared" ref="Q16:Q17" si="9">IFERROR(M16/N16-1,"n/a")</f>
        <v>n/a</v>
      </c>
      <c r="R16" s="65">
        <f t="shared" ref="R16:R17" si="10">IFERROR(M16/O16-1,"n/a")</f>
        <v>33.666666666666664</v>
      </c>
      <c r="S16" s="61">
        <f t="shared" ref="S16:S17" si="11">IFERROR(M16/P16-1,"n/a")</f>
        <v>1.4761904761904763</v>
      </c>
      <c r="T16" s="69">
        <v>23</v>
      </c>
      <c r="U16" s="71">
        <v>4</v>
      </c>
      <c r="V16" s="71">
        <v>191</v>
      </c>
    </row>
    <row r="17" spans="1:38" ht="14.4">
      <c r="A17" s="10"/>
      <c r="B17" s="13"/>
      <c r="C17" s="34"/>
      <c r="D17" s="27" t="s">
        <v>11</v>
      </c>
      <c r="E17" s="33"/>
      <c r="F17" s="69">
        <v>59882</v>
      </c>
      <c r="G17" s="69">
        <v>0</v>
      </c>
      <c r="H17" s="69">
        <v>0</v>
      </c>
      <c r="I17" s="69">
        <v>23341</v>
      </c>
      <c r="J17" s="65" t="str">
        <f t="shared" si="0"/>
        <v>n/a</v>
      </c>
      <c r="K17" s="65" t="str">
        <f t="shared" si="8"/>
        <v>n/a</v>
      </c>
      <c r="L17" s="61">
        <f t="shared" ref="L17:L28" si="12">IFERROR(F17/I17-1,"n/a")</f>
        <v>1.5655284692172571</v>
      </c>
      <c r="M17" s="69">
        <f>F17+'Apr-22'!M17</f>
        <v>82178</v>
      </c>
      <c r="N17" s="69">
        <f>G17+'Apr-22'!N17</f>
        <v>0</v>
      </c>
      <c r="O17" s="69">
        <f>H17+'Apr-22'!O17</f>
        <v>1642</v>
      </c>
      <c r="P17" s="69">
        <f>I17+'Apr-22'!P17</f>
        <v>42732</v>
      </c>
      <c r="Q17" s="65" t="str">
        <f t="shared" si="9"/>
        <v>n/a</v>
      </c>
      <c r="R17" s="65">
        <f t="shared" si="10"/>
        <v>49.047503045066989</v>
      </c>
      <c r="S17" s="61">
        <f t="shared" si="11"/>
        <v>0.92310212487129073</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80</v>
      </c>
      <c r="G19" s="69">
        <v>0</v>
      </c>
      <c r="H19" s="69">
        <v>0</v>
      </c>
      <c r="I19" s="69">
        <v>82</v>
      </c>
      <c r="J19" s="65" t="str">
        <f t="shared" si="0"/>
        <v>n/a</v>
      </c>
      <c r="K19" s="65" t="str">
        <f t="shared" ref="K19:K20" si="13">IFERROR(F19/H19-1,"n/a")</f>
        <v>n/a</v>
      </c>
      <c r="L19" s="61">
        <f t="shared" si="12"/>
        <v>-2.4390243902439046E-2</v>
      </c>
      <c r="M19" s="69">
        <f>F19+'Apr-22'!M19</f>
        <v>524</v>
      </c>
      <c r="N19" s="69">
        <f>G19+'Apr-22'!N19</f>
        <v>0</v>
      </c>
      <c r="O19" s="69">
        <f>H19+'Apr-22'!O19</f>
        <v>406</v>
      </c>
      <c r="P19" s="69">
        <f>I19+'Apr-22'!P19</f>
        <v>500</v>
      </c>
      <c r="Q19" s="65" t="str">
        <f t="shared" ref="Q19:Q20" si="14">IFERROR(M19/N19-1,"n/a")</f>
        <v>n/a</v>
      </c>
      <c r="R19" s="65">
        <f t="shared" ref="R19:R20" si="15">IFERROR(M19/O19-1,"n/a")</f>
        <v>0.29064039408866993</v>
      </c>
      <c r="S19" s="61">
        <f t="shared" ref="S19:S20" si="16">IFERROR(M19/P19-1,"n/a")</f>
        <v>4.8000000000000043E-2</v>
      </c>
      <c r="T19" s="69">
        <v>411</v>
      </c>
      <c r="U19" s="71">
        <v>406</v>
      </c>
      <c r="V19" s="71">
        <v>1205</v>
      </c>
    </row>
    <row r="20" spans="1:38" ht="14.4">
      <c r="A20" s="10"/>
      <c r="B20" s="13"/>
      <c r="C20" s="34"/>
      <c r="D20" s="27" t="s">
        <v>11</v>
      </c>
      <c r="E20" s="33"/>
      <c r="F20" s="69">
        <v>231087</v>
      </c>
      <c r="G20" s="69">
        <v>0</v>
      </c>
      <c r="H20" s="69">
        <v>0</v>
      </c>
      <c r="I20" s="69">
        <v>287713</v>
      </c>
      <c r="J20" s="65" t="str">
        <f t="shared" si="0"/>
        <v>n/a</v>
      </c>
      <c r="K20" s="65" t="str">
        <f t="shared" si="13"/>
        <v>n/a</v>
      </c>
      <c r="L20" s="61">
        <f t="shared" si="12"/>
        <v>-0.19681418635932335</v>
      </c>
      <c r="M20" s="69">
        <f>F20+'Apr-22'!M20</f>
        <v>1101390</v>
      </c>
      <c r="N20" s="69">
        <f>G20+'Apr-22'!N20</f>
        <v>0</v>
      </c>
      <c r="O20" s="69">
        <f>H20+'Apr-22'!O20</f>
        <v>833999</v>
      </c>
      <c r="P20" s="69">
        <f>I20+'Apr-22'!P20</f>
        <v>1700807</v>
      </c>
      <c r="Q20" s="65" t="str">
        <f t="shared" si="14"/>
        <v>n/a</v>
      </c>
      <c r="R20" s="65">
        <f t="shared" si="15"/>
        <v>0.32061309426030493</v>
      </c>
      <c r="S20" s="61">
        <f t="shared" si="16"/>
        <v>-0.35243093425650296</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38</v>
      </c>
      <c r="G22" s="69">
        <v>9</v>
      </c>
      <c r="H22" s="69">
        <v>0</v>
      </c>
      <c r="I22" s="69">
        <v>44</v>
      </c>
      <c r="J22" s="65">
        <f t="shared" si="0"/>
        <v>3.2222222222222223</v>
      </c>
      <c r="K22" s="65" t="str">
        <f t="shared" ref="K22:K23" si="17">IFERROR(F22/H22-1,"n/a")</f>
        <v>n/a</v>
      </c>
      <c r="L22" s="61">
        <f t="shared" si="12"/>
        <v>-0.13636363636363635</v>
      </c>
      <c r="M22" s="69">
        <f>F22+'Apr-22'!M22</f>
        <v>83</v>
      </c>
      <c r="N22" s="69">
        <f>G22+'Apr-22'!N22</f>
        <v>23</v>
      </c>
      <c r="O22" s="69">
        <f>H22+'Apr-22'!O22</f>
        <v>9</v>
      </c>
      <c r="P22" s="69">
        <f>I22+'Apr-22'!P22</f>
        <v>93</v>
      </c>
      <c r="Q22" s="65">
        <f t="shared" ref="Q22:Q23" si="18">IFERROR(M22/N22-1,"n/a")</f>
        <v>2.6086956521739131</v>
      </c>
      <c r="R22" s="65">
        <f t="shared" ref="R22:R23" si="19">IFERROR(M22/O22-1,"n/a")</f>
        <v>8.2222222222222214</v>
      </c>
      <c r="S22" s="61">
        <f t="shared" ref="S22:S23" si="20">IFERROR(M22/P22-1,"n/a")</f>
        <v>-0.10752688172043012</v>
      </c>
      <c r="T22" s="69">
        <v>107</v>
      </c>
      <c r="U22" s="71">
        <v>32</v>
      </c>
      <c r="V22" s="71">
        <v>372</v>
      </c>
    </row>
    <row r="23" spans="1:38" ht="14.4">
      <c r="A23" s="10"/>
      <c r="B23" s="13"/>
      <c r="C23" s="34"/>
      <c r="D23" s="27" t="s">
        <v>11</v>
      </c>
      <c r="E23" s="33"/>
      <c r="F23" s="69">
        <v>48885</v>
      </c>
      <c r="G23" s="69">
        <v>11576</v>
      </c>
      <c r="H23" s="69">
        <v>0</v>
      </c>
      <c r="I23" s="69">
        <v>102078</v>
      </c>
      <c r="J23" s="65">
        <f t="shared" si="0"/>
        <v>3.2229612992398069</v>
      </c>
      <c r="K23" s="65" t="str">
        <f t="shared" si="17"/>
        <v>n/a</v>
      </c>
      <c r="L23" s="61">
        <f t="shared" si="12"/>
        <v>-0.52110151060953391</v>
      </c>
      <c r="M23" s="69">
        <f>F23+'Apr-22'!M23</f>
        <v>106023</v>
      </c>
      <c r="N23" s="69">
        <f>G23+'Apr-22'!N23</f>
        <v>25542</v>
      </c>
      <c r="O23" s="69">
        <f>H23+'Apr-22'!O23</f>
        <v>40221</v>
      </c>
      <c r="P23" s="69">
        <f>I23+'Apr-22'!P23</f>
        <v>272179</v>
      </c>
      <c r="Q23" s="65">
        <f t="shared" si="18"/>
        <v>3.1509278834860233</v>
      </c>
      <c r="R23" s="65">
        <f t="shared" si="19"/>
        <v>1.6360110390094729</v>
      </c>
      <c r="S23" s="61">
        <f t="shared" si="20"/>
        <v>-0.61046590662762368</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62</v>
      </c>
      <c r="G25" s="69">
        <v>9</v>
      </c>
      <c r="H25" s="69">
        <v>0</v>
      </c>
      <c r="I25" s="69">
        <v>45</v>
      </c>
      <c r="J25" s="65">
        <f t="shared" si="0"/>
        <v>5.8888888888888893</v>
      </c>
      <c r="K25" s="65" t="str">
        <f t="shared" ref="K25:K28" si="21">IFERROR(F25/H25-1,"n/a")</f>
        <v>n/a</v>
      </c>
      <c r="L25" s="61">
        <f t="shared" si="12"/>
        <v>0.37777777777777777</v>
      </c>
      <c r="M25" s="69">
        <f>F25+'Apr-22'!M25</f>
        <v>129</v>
      </c>
      <c r="N25" s="69">
        <f>G25+'Apr-22'!N25</f>
        <v>14</v>
      </c>
      <c r="O25" s="69">
        <f>H25+'Apr-22'!O25</f>
        <v>1</v>
      </c>
      <c r="P25" s="69">
        <f>I25+'Apr-22'!P25</f>
        <v>80</v>
      </c>
      <c r="Q25" s="65">
        <f t="shared" ref="Q25:Q28" si="22">IFERROR(M25/N25-1,"n/a")</f>
        <v>8.2142857142857135</v>
      </c>
      <c r="R25" s="65">
        <f t="shared" ref="R25:R28" si="23">IFERROR(M25/O25-1,"n/a")</f>
        <v>128</v>
      </c>
      <c r="S25" s="61">
        <f t="shared" ref="S25:S28" si="24">IFERROR(M25/P25-1,"n/a")</f>
        <v>0.61250000000000004</v>
      </c>
      <c r="T25" s="69">
        <v>124</v>
      </c>
      <c r="U25" s="71">
        <v>37</v>
      </c>
      <c r="V25" s="71">
        <f>282+81</f>
        <v>363</v>
      </c>
    </row>
    <row r="26" spans="1:38" ht="14.4">
      <c r="A26" s="10"/>
      <c r="B26" s="13"/>
      <c r="C26" s="34"/>
      <c r="D26" s="27" t="s">
        <v>11</v>
      </c>
      <c r="E26" s="33"/>
      <c r="F26" s="69">
        <f>56524+11398</f>
        <v>67922</v>
      </c>
      <c r="G26" s="69">
        <v>12905</v>
      </c>
      <c r="H26" s="69">
        <v>0</v>
      </c>
      <c r="I26" s="69">
        <v>112132</v>
      </c>
      <c r="J26" s="65">
        <f t="shared" si="0"/>
        <v>4.2632313056954665</v>
      </c>
      <c r="K26" s="65" t="str">
        <f t="shared" si="21"/>
        <v>n/a</v>
      </c>
      <c r="L26" s="61">
        <f t="shared" si="12"/>
        <v>-0.39426747048121857</v>
      </c>
      <c r="M26" s="69">
        <f>F26+'Apr-22'!M26</f>
        <v>123179</v>
      </c>
      <c r="N26" s="69">
        <f>G26+'Apr-22'!N26</f>
        <v>15044</v>
      </c>
      <c r="O26" s="69">
        <f>H26+'Apr-22'!O26</f>
        <v>892</v>
      </c>
      <c r="P26" s="69">
        <f>I26+'Apr-22'!P26</f>
        <v>194615</v>
      </c>
      <c r="Q26" s="65">
        <f t="shared" si="22"/>
        <v>7.1879154480191438</v>
      </c>
      <c r="R26" s="65">
        <f t="shared" si="23"/>
        <v>137.09304932735427</v>
      </c>
      <c r="S26" s="61">
        <f t="shared" si="24"/>
        <v>-0.36706317601418181</v>
      </c>
      <c r="T26" s="69">
        <v>165083</v>
      </c>
      <c r="U26" s="71">
        <f>20768+8294</f>
        <v>29062</v>
      </c>
      <c r="V26" s="71">
        <f>659951+168729+38484</f>
        <v>867164</v>
      </c>
    </row>
    <row r="27" spans="1:38" thickBot="1">
      <c r="A27" s="10"/>
      <c r="B27" s="13"/>
      <c r="C27" s="36" t="s">
        <v>12</v>
      </c>
      <c r="D27" s="37"/>
      <c r="E27" s="38"/>
      <c r="F27" s="47">
        <f t="shared" ref="F27:I28" si="25">F10+F13+F16+F19+F22+F25</f>
        <v>354</v>
      </c>
      <c r="G27" s="47">
        <f t="shared" si="25"/>
        <v>18</v>
      </c>
      <c r="H27" s="47">
        <f t="shared" si="25"/>
        <v>0</v>
      </c>
      <c r="I27" s="47">
        <f t="shared" si="25"/>
        <v>315</v>
      </c>
      <c r="J27" s="67">
        <f t="shared" si="0"/>
        <v>18.666666666666668</v>
      </c>
      <c r="K27" s="67" t="str">
        <f t="shared" si="21"/>
        <v>n/a</v>
      </c>
      <c r="L27" s="63">
        <f t="shared" si="12"/>
        <v>0.12380952380952381</v>
      </c>
      <c r="M27" s="47">
        <f t="shared" ref="M27:P28" si="26">M10+M13+M16+M19+M22+M25</f>
        <v>1317</v>
      </c>
      <c r="N27" s="47">
        <f t="shared" si="26"/>
        <v>37</v>
      </c>
      <c r="O27" s="47">
        <f t="shared" si="26"/>
        <v>607</v>
      </c>
      <c r="P27" s="47">
        <f t="shared" si="26"/>
        <v>1242</v>
      </c>
      <c r="Q27" s="67">
        <f t="shared" si="22"/>
        <v>34.594594594594597</v>
      </c>
      <c r="R27" s="67">
        <f t="shared" si="23"/>
        <v>1.1696869851729819</v>
      </c>
      <c r="S27" s="63">
        <f t="shared" si="24"/>
        <v>6.0386473429951737E-2</v>
      </c>
      <c r="T27" s="47">
        <f t="shared" ref="T27:V28" si="27">T10+T13+T16+T19+T22+T25</f>
        <v>1059</v>
      </c>
      <c r="U27" s="47">
        <f t="shared" si="27"/>
        <v>667</v>
      </c>
      <c r="V27" s="47">
        <f t="shared" si="27"/>
        <v>3344</v>
      </c>
    </row>
    <row r="28" spans="1:38" s="23" customFormat="1" ht="15.6" thickTop="1" thickBot="1">
      <c r="A28" s="10"/>
      <c r="B28" s="13"/>
      <c r="C28" s="39" t="s">
        <v>13</v>
      </c>
      <c r="D28" s="40"/>
      <c r="E28" s="41"/>
      <c r="F28" s="48">
        <f t="shared" si="25"/>
        <v>579675</v>
      </c>
      <c r="G28" s="48">
        <f t="shared" si="25"/>
        <v>24481</v>
      </c>
      <c r="H28" s="48">
        <f t="shared" si="25"/>
        <v>0</v>
      </c>
      <c r="I28" s="48">
        <f t="shared" si="25"/>
        <v>841049</v>
      </c>
      <c r="J28" s="68">
        <f t="shared" si="0"/>
        <v>22.678567051999512</v>
      </c>
      <c r="K28" s="68" t="str">
        <f t="shared" si="21"/>
        <v>n/a</v>
      </c>
      <c r="L28" s="64">
        <f t="shared" si="12"/>
        <v>-0.31077142948865044</v>
      </c>
      <c r="M28" s="48">
        <f t="shared" si="26"/>
        <v>1955158</v>
      </c>
      <c r="N28" s="48">
        <f t="shared" si="26"/>
        <v>40586</v>
      </c>
      <c r="O28" s="48">
        <f t="shared" si="26"/>
        <v>1276191</v>
      </c>
      <c r="P28" s="48">
        <f t="shared" si="26"/>
        <v>3422813</v>
      </c>
      <c r="Q28" s="68">
        <f t="shared" si="22"/>
        <v>47.173212437786432</v>
      </c>
      <c r="R28" s="68">
        <f t="shared" si="23"/>
        <v>0.53202616222806776</v>
      </c>
      <c r="S28" s="64">
        <f t="shared" si="24"/>
        <v>-0.42878620596567796</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44</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02" t="s">
        <v>45</v>
      </c>
      <c r="G6" s="102"/>
      <c r="H6" s="102"/>
      <c r="I6" s="102"/>
      <c r="J6" s="102"/>
      <c r="K6" s="102"/>
      <c r="L6" s="103"/>
      <c r="M6" s="104" t="s">
        <v>46</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25</v>
      </c>
      <c r="G10" s="69">
        <v>0</v>
      </c>
      <c r="H10" s="69">
        <v>0</v>
      </c>
      <c r="I10" s="69">
        <v>27</v>
      </c>
      <c r="J10" s="65" t="str">
        <f t="shared" ref="J10:J28" si="0">IFERROR(F10/G10-1,"n/a")</f>
        <v>n/a</v>
      </c>
      <c r="K10" s="65" t="str">
        <f>IFERROR(F10/H10-1,"n/a")</f>
        <v>n/a</v>
      </c>
      <c r="L10" s="61">
        <f t="shared" ref="L10:L11" si="1">IFERROR(F10/I10-1,"n/a")</f>
        <v>-7.407407407407407E-2</v>
      </c>
      <c r="M10" s="69">
        <f>F10+'Mar-22'!M10</f>
        <v>222</v>
      </c>
      <c r="N10" s="69">
        <f>G10+'Mar-22'!N10</f>
        <v>0</v>
      </c>
      <c r="O10" s="69">
        <f>H10+'Mar-22'!O10</f>
        <v>145</v>
      </c>
      <c r="P10" s="69">
        <f>I10+'Mar-22'!P10</f>
        <v>227</v>
      </c>
      <c r="Q10" s="65" t="str">
        <f>IFERROR(M10/N10-1,"n/a")</f>
        <v>n/a</v>
      </c>
      <c r="R10" s="65">
        <f>IFERROR(M10/O10-1,"n/a")</f>
        <v>0.53103448275862064</v>
      </c>
      <c r="S10" s="61">
        <f>IFERROR(M10/P10-1,"n/a")</f>
        <v>-2.2026431718061623E-2</v>
      </c>
      <c r="T10" s="69">
        <v>111</v>
      </c>
      <c r="U10" s="71">
        <v>145</v>
      </c>
      <c r="V10" s="71">
        <v>386</v>
      </c>
    </row>
    <row r="11" spans="1:38" ht="14.4">
      <c r="A11" s="10"/>
      <c r="B11" s="13"/>
      <c r="C11" s="34"/>
      <c r="D11" s="27" t="s">
        <v>11</v>
      </c>
      <c r="E11" s="33"/>
      <c r="F11" s="69">
        <v>30815</v>
      </c>
      <c r="G11" s="69">
        <v>0</v>
      </c>
      <c r="H11" s="69">
        <v>0</v>
      </c>
      <c r="I11" s="69">
        <v>46675</v>
      </c>
      <c r="J11" s="65" t="str">
        <f t="shared" si="0"/>
        <v>n/a</v>
      </c>
      <c r="K11" s="65" t="str">
        <f t="shared" ref="K11" si="2">IFERROR(F11/H11-1,"n/a")</f>
        <v>n/a</v>
      </c>
      <c r="L11" s="61">
        <f t="shared" si="1"/>
        <v>-0.33979646491697912</v>
      </c>
      <c r="M11" s="69">
        <f>F11+'Mar-22'!M11</f>
        <v>187143</v>
      </c>
      <c r="N11" s="69">
        <f>G11+'Mar-22'!N11</f>
        <v>0</v>
      </c>
      <c r="O11" s="69">
        <f>H11+'Mar-22'!O11</f>
        <v>258885</v>
      </c>
      <c r="P11" s="69">
        <f>I11+'Mar-22'!P11</f>
        <v>432055</v>
      </c>
      <c r="Q11" s="65" t="str">
        <f>IFERROR(M11/N11-1,"n/a")</f>
        <v>n/a</v>
      </c>
      <c r="R11" s="65">
        <f>IFERROR(M11/O11-1,"n/a")</f>
        <v>-0.27711918419375403</v>
      </c>
      <c r="S11" s="61">
        <f>IFERROR(M11/P11-1,"n/a")</f>
        <v>-0.56685375704482066</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96</v>
      </c>
      <c r="G13" s="69">
        <v>0</v>
      </c>
      <c r="H13" s="69">
        <v>0</v>
      </c>
      <c r="I13" s="69">
        <v>90</v>
      </c>
      <c r="J13" s="65" t="str">
        <f t="shared" si="0"/>
        <v>n/a</v>
      </c>
      <c r="K13" s="65" t="str">
        <f t="shared" ref="K13:K14" si="3">IFERROR(F13/H13-1,"n/a")</f>
        <v>n/a</v>
      </c>
      <c r="L13" s="61">
        <f t="shared" ref="L13:L14" si="4">IFERROR(F13/I13-1,"n/a")</f>
        <v>6.6666666666666652E-2</v>
      </c>
      <c r="M13" s="69">
        <f>F13+'Mar-22'!M13</f>
        <v>149</v>
      </c>
      <c r="N13" s="69">
        <f>G13+'Mar-22'!N13</f>
        <v>0</v>
      </c>
      <c r="O13" s="69">
        <f>H13+'Mar-22'!O13</f>
        <v>43</v>
      </c>
      <c r="P13" s="69">
        <f>I13+'Mar-22'!P13</f>
        <v>179</v>
      </c>
      <c r="Q13" s="65" t="str">
        <f t="shared" ref="Q13:Q14" si="5">IFERROR(M13/N13-1,"n/a")</f>
        <v>n/a</v>
      </c>
      <c r="R13" s="65">
        <f t="shared" ref="R13:R14" si="6">IFERROR(M13/O13-1,"n/a")</f>
        <v>2.4651162790697674</v>
      </c>
      <c r="S13" s="61">
        <f t="shared" ref="S13:S14" si="7">IFERROR(M13/P13-1,"n/a")</f>
        <v>-0.16759776536312854</v>
      </c>
      <c r="T13" s="69">
        <v>283</v>
      </c>
      <c r="U13" s="71">
        <v>43</v>
      </c>
      <c r="V13" s="71">
        <v>827</v>
      </c>
    </row>
    <row r="14" spans="1:38" ht="14.4">
      <c r="A14" s="10"/>
      <c r="B14" s="13"/>
      <c r="C14" s="34"/>
      <c r="D14" s="27" t="s">
        <v>11</v>
      </c>
      <c r="E14" s="33"/>
      <c r="F14" s="69">
        <v>114892</v>
      </c>
      <c r="G14" s="69">
        <v>0</v>
      </c>
      <c r="H14" s="69">
        <v>0</v>
      </c>
      <c r="I14" s="69">
        <v>212740</v>
      </c>
      <c r="J14" s="65" t="str">
        <f t="shared" si="0"/>
        <v>n/a</v>
      </c>
      <c r="K14" s="65" t="str">
        <f t="shared" si="3"/>
        <v>n/a</v>
      </c>
      <c r="L14" s="61">
        <f t="shared" si="4"/>
        <v>-0.45994171288897245</v>
      </c>
      <c r="M14" s="69">
        <f>F14+'Mar-22'!M14</f>
        <v>183346</v>
      </c>
      <c r="N14" s="69">
        <f>G14+'Mar-22'!N14</f>
        <v>0</v>
      </c>
      <c r="O14" s="69">
        <f>H14+'Mar-22'!O14</f>
        <v>140552</v>
      </c>
      <c r="P14" s="69">
        <f>I14+'Mar-22'!P14</f>
        <v>464640</v>
      </c>
      <c r="Q14" s="65" t="str">
        <f t="shared" si="5"/>
        <v>n/a</v>
      </c>
      <c r="R14" s="65">
        <f t="shared" si="6"/>
        <v>0.30447094313848266</v>
      </c>
      <c r="S14" s="61">
        <f t="shared" si="7"/>
        <v>-0.60540203168044071</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26</v>
      </c>
      <c r="G16" s="69">
        <v>0</v>
      </c>
      <c r="H16" s="69">
        <v>0</v>
      </c>
      <c r="I16" s="69">
        <v>13</v>
      </c>
      <c r="J16" s="65" t="str">
        <f t="shared" si="0"/>
        <v>n/a</v>
      </c>
      <c r="K16" s="65" t="str">
        <f t="shared" ref="K16:K17" si="8">IFERROR(F16/H16-1,"n/a")</f>
        <v>n/a</v>
      </c>
      <c r="L16" s="61">
        <f>IFERROR(F16/I16-1,"n/a")</f>
        <v>1</v>
      </c>
      <c r="M16" s="69">
        <f>F16+'Mar-22'!M16</f>
        <v>36</v>
      </c>
      <c r="N16" s="69">
        <f>G16+'Mar-22'!N16</f>
        <v>0</v>
      </c>
      <c r="O16" s="69">
        <f>H16+'Mar-22'!O16</f>
        <v>3</v>
      </c>
      <c r="P16" s="69">
        <f>I16+'Mar-22'!P16</f>
        <v>19</v>
      </c>
      <c r="Q16" s="65" t="str">
        <f t="shared" ref="Q16:Q17" si="9">IFERROR(M16/N16-1,"n/a")</f>
        <v>n/a</v>
      </c>
      <c r="R16" s="65">
        <f t="shared" ref="R16:R17" si="10">IFERROR(M16/O16-1,"n/a")</f>
        <v>11</v>
      </c>
      <c r="S16" s="61">
        <f t="shared" ref="S16:S17" si="11">IFERROR(M16/P16-1,"n/a")</f>
        <v>0.89473684210526305</v>
      </c>
      <c r="T16" s="69">
        <v>23</v>
      </c>
      <c r="U16" s="71">
        <v>4</v>
      </c>
      <c r="V16" s="71">
        <v>191</v>
      </c>
    </row>
    <row r="17" spans="1:38" ht="14.4">
      <c r="A17" s="10"/>
      <c r="B17" s="13"/>
      <c r="C17" s="34"/>
      <c r="D17" s="27" t="s">
        <v>11</v>
      </c>
      <c r="E17" s="33"/>
      <c r="F17" s="69">
        <v>20824</v>
      </c>
      <c r="G17" s="69">
        <v>0</v>
      </c>
      <c r="H17" s="69">
        <v>0</v>
      </c>
      <c r="I17" s="69">
        <v>14253</v>
      </c>
      <c r="J17" s="65" t="str">
        <f t="shared" si="0"/>
        <v>n/a</v>
      </c>
      <c r="K17" s="65" t="str">
        <f t="shared" si="8"/>
        <v>n/a</v>
      </c>
      <c r="L17" s="61">
        <f t="shared" ref="L17:L28" si="12">IFERROR(F17/I17-1,"n/a")</f>
        <v>0.46102574896513016</v>
      </c>
      <c r="M17" s="69">
        <f>F17+'Mar-22'!M17</f>
        <v>22296</v>
      </c>
      <c r="N17" s="69">
        <f>G17+'Mar-22'!N17</f>
        <v>0</v>
      </c>
      <c r="O17" s="69">
        <f>H17+'Mar-22'!O17</f>
        <v>1642</v>
      </c>
      <c r="P17" s="69">
        <f>I17+'Mar-22'!P17</f>
        <v>19391</v>
      </c>
      <c r="Q17" s="65" t="str">
        <f t="shared" si="9"/>
        <v>n/a</v>
      </c>
      <c r="R17" s="65">
        <f t="shared" si="10"/>
        <v>12.578562728380025</v>
      </c>
      <c r="S17" s="61">
        <f t="shared" si="11"/>
        <v>0.14981176834613996</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111</v>
      </c>
      <c r="G19" s="69">
        <v>0</v>
      </c>
      <c r="H19" s="69">
        <v>42</v>
      </c>
      <c r="I19" s="69">
        <v>102</v>
      </c>
      <c r="J19" s="65" t="str">
        <f t="shared" si="0"/>
        <v>n/a</v>
      </c>
      <c r="K19" s="65">
        <f t="shared" ref="K19:K20" si="13">IFERROR(F19/H19-1,"n/a")</f>
        <v>1.6428571428571428</v>
      </c>
      <c r="L19" s="61">
        <f t="shared" si="12"/>
        <v>8.8235294117646967E-2</v>
      </c>
      <c r="M19" s="69">
        <f>F19+'Mar-22'!M19</f>
        <v>444</v>
      </c>
      <c r="N19" s="69">
        <f>G19+'Mar-22'!N19</f>
        <v>0</v>
      </c>
      <c r="O19" s="69">
        <f>H19+'Mar-22'!O19</f>
        <v>406</v>
      </c>
      <c r="P19" s="69">
        <f>I19+'Mar-22'!P19</f>
        <v>418</v>
      </c>
      <c r="Q19" s="65" t="str">
        <f t="shared" ref="Q19:Q20" si="14">IFERROR(M19/N19-1,"n/a")</f>
        <v>n/a</v>
      </c>
      <c r="R19" s="65">
        <f t="shared" ref="R19:R20" si="15">IFERROR(M19/O19-1,"n/a")</f>
        <v>9.3596059113300489E-2</v>
      </c>
      <c r="S19" s="61">
        <f t="shared" ref="S19:S20" si="16">IFERROR(M19/P19-1,"n/a")</f>
        <v>6.2200956937799035E-2</v>
      </c>
      <c r="T19" s="69">
        <v>411</v>
      </c>
      <c r="U19" s="71">
        <v>406</v>
      </c>
      <c r="V19" s="71">
        <v>1205</v>
      </c>
    </row>
    <row r="20" spans="1:38" ht="14.4">
      <c r="A20" s="10"/>
      <c r="B20" s="13"/>
      <c r="C20" s="34"/>
      <c r="D20" s="27" t="s">
        <v>11</v>
      </c>
      <c r="E20" s="33"/>
      <c r="F20" s="69">
        <v>266973</v>
      </c>
      <c r="G20" s="69">
        <v>0</v>
      </c>
      <c r="H20" s="69">
        <v>0</v>
      </c>
      <c r="I20" s="69">
        <v>347370</v>
      </c>
      <c r="J20" s="65" t="str">
        <f t="shared" si="0"/>
        <v>n/a</v>
      </c>
      <c r="K20" s="65" t="str">
        <f t="shared" si="13"/>
        <v>n/a</v>
      </c>
      <c r="L20" s="61">
        <f t="shared" si="12"/>
        <v>-0.23144485706883156</v>
      </c>
      <c r="M20" s="69">
        <f>F20+'Mar-22'!M20</f>
        <v>870303</v>
      </c>
      <c r="N20" s="69">
        <f>G20+'Mar-22'!N20</f>
        <v>0</v>
      </c>
      <c r="O20" s="69">
        <f>H20+'Mar-22'!O20</f>
        <v>833999</v>
      </c>
      <c r="P20" s="69">
        <f>I20+'Mar-22'!P20</f>
        <v>1413094</v>
      </c>
      <c r="Q20" s="65" t="str">
        <f t="shared" si="14"/>
        <v>n/a</v>
      </c>
      <c r="R20" s="65">
        <f t="shared" si="15"/>
        <v>4.353002821346319E-2</v>
      </c>
      <c r="S20" s="61">
        <f t="shared" si="16"/>
        <v>-0.38411528178592502</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22</v>
      </c>
      <c r="G22" s="69">
        <v>5</v>
      </c>
      <c r="H22" s="69">
        <v>0</v>
      </c>
      <c r="I22" s="69">
        <v>29</v>
      </c>
      <c r="J22" s="65">
        <f t="shared" si="0"/>
        <v>3.4000000000000004</v>
      </c>
      <c r="K22" s="65" t="str">
        <f t="shared" ref="K22:K23" si="17">IFERROR(F22/H22-1,"n/a")</f>
        <v>n/a</v>
      </c>
      <c r="L22" s="61">
        <f t="shared" si="12"/>
        <v>-0.24137931034482762</v>
      </c>
      <c r="M22" s="69">
        <f>F22+'Mar-22'!M22</f>
        <v>45</v>
      </c>
      <c r="N22" s="69">
        <f>G22+'Mar-22'!N22</f>
        <v>14</v>
      </c>
      <c r="O22" s="69">
        <f>H22+'Mar-22'!O22</f>
        <v>9</v>
      </c>
      <c r="P22" s="69">
        <f>I22+'Mar-22'!P22</f>
        <v>49</v>
      </c>
      <c r="Q22" s="65">
        <f t="shared" ref="Q22:Q23" si="18">IFERROR(M22/N22-1,"n/a")</f>
        <v>2.2142857142857144</v>
      </c>
      <c r="R22" s="65">
        <f t="shared" ref="R22:R23" si="19">IFERROR(M22/O22-1,"n/a")</f>
        <v>4</v>
      </c>
      <c r="S22" s="61">
        <f t="shared" ref="S22:S23" si="20">IFERROR(M22/P22-1,"n/a")</f>
        <v>-8.1632653061224469E-2</v>
      </c>
      <c r="T22" s="69">
        <v>107</v>
      </c>
      <c r="U22" s="71">
        <v>32</v>
      </c>
      <c r="V22" s="71">
        <v>372</v>
      </c>
    </row>
    <row r="23" spans="1:38" ht="14.4">
      <c r="A23" s="10"/>
      <c r="B23" s="13"/>
      <c r="C23" s="34"/>
      <c r="D23" s="27" t="s">
        <v>11</v>
      </c>
      <c r="E23" s="33"/>
      <c r="F23" s="69">
        <v>30617</v>
      </c>
      <c r="G23" s="69">
        <v>6002</v>
      </c>
      <c r="H23" s="69">
        <v>0</v>
      </c>
      <c r="I23" s="69">
        <v>93826</v>
      </c>
      <c r="J23" s="65">
        <f t="shared" si="0"/>
        <v>4.1011329556814395</v>
      </c>
      <c r="K23" s="65" t="str">
        <f t="shared" si="17"/>
        <v>n/a</v>
      </c>
      <c r="L23" s="61">
        <f t="shared" si="12"/>
        <v>-0.6736832008185365</v>
      </c>
      <c r="M23" s="69">
        <f>F23+'Mar-22'!M23</f>
        <v>57138</v>
      </c>
      <c r="N23" s="69">
        <f>G23+'Mar-22'!N23</f>
        <v>13966</v>
      </c>
      <c r="O23" s="69">
        <f>H23+'Mar-22'!O23</f>
        <v>40221</v>
      </c>
      <c r="P23" s="69">
        <f>I23+'Mar-22'!P23</f>
        <v>170101</v>
      </c>
      <c r="Q23" s="65">
        <f t="shared" si="18"/>
        <v>3.0912215380209078</v>
      </c>
      <c r="R23" s="65">
        <f t="shared" si="19"/>
        <v>0.42060117848884904</v>
      </c>
      <c r="S23" s="61">
        <f t="shared" si="20"/>
        <v>-0.66409368551625203</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51</v>
      </c>
      <c r="G25" s="69">
        <v>2</v>
      </c>
      <c r="H25" s="69">
        <v>0</v>
      </c>
      <c r="I25" s="69">
        <v>31</v>
      </c>
      <c r="J25" s="65">
        <f t="shared" si="0"/>
        <v>24.5</v>
      </c>
      <c r="K25" s="65" t="str">
        <f t="shared" ref="K25:K28" si="21">IFERROR(F25/H25-1,"n/a")</f>
        <v>n/a</v>
      </c>
      <c r="L25" s="61">
        <f t="shared" si="12"/>
        <v>0.64516129032258074</v>
      </c>
      <c r="M25" s="69">
        <f>F25+'Mar-22'!M25</f>
        <v>67</v>
      </c>
      <c r="N25" s="69">
        <f>G25+'Mar-22'!N25</f>
        <v>5</v>
      </c>
      <c r="O25" s="69">
        <f>H25+'Mar-22'!O25</f>
        <v>1</v>
      </c>
      <c r="P25" s="69">
        <f>I25+'Mar-22'!P25</f>
        <v>35</v>
      </c>
      <c r="Q25" s="65">
        <f t="shared" ref="Q25:Q28" si="22">IFERROR(M25/N25-1,"n/a")</f>
        <v>12.4</v>
      </c>
      <c r="R25" s="65">
        <f t="shared" ref="R25:R28" si="23">IFERROR(M25/O25-1,"n/a")</f>
        <v>66</v>
      </c>
      <c r="S25" s="61">
        <f t="shared" ref="S25:S28" si="24">IFERROR(M25/P25-1,"n/a")</f>
        <v>0.91428571428571437</v>
      </c>
      <c r="T25" s="69">
        <v>124</v>
      </c>
      <c r="U25" s="71">
        <v>37</v>
      </c>
      <c r="V25" s="71">
        <f>282+81</f>
        <v>363</v>
      </c>
    </row>
    <row r="26" spans="1:38" ht="14.4">
      <c r="A26" s="10"/>
      <c r="B26" s="13"/>
      <c r="C26" s="34"/>
      <c r="D26" s="27" t="s">
        <v>11</v>
      </c>
      <c r="E26" s="33"/>
      <c r="F26" s="69">
        <f>42314+1343</f>
        <v>43657</v>
      </c>
      <c r="G26" s="69">
        <v>0</v>
      </c>
      <c r="H26" s="69">
        <v>0</v>
      </c>
      <c r="I26" s="69">
        <v>76374</v>
      </c>
      <c r="J26" s="65" t="str">
        <f t="shared" si="0"/>
        <v>n/a</v>
      </c>
      <c r="K26" s="65" t="str">
        <f t="shared" si="21"/>
        <v>n/a</v>
      </c>
      <c r="L26" s="61">
        <f t="shared" si="12"/>
        <v>-0.42837876764343885</v>
      </c>
      <c r="M26" s="69">
        <f>F26+'Mar-22'!M26</f>
        <v>55257</v>
      </c>
      <c r="N26" s="69">
        <f>G26+'Mar-22'!N26</f>
        <v>2139</v>
      </c>
      <c r="O26" s="69">
        <f>H26+'Mar-22'!O26</f>
        <v>892</v>
      </c>
      <c r="P26" s="69">
        <f>I26+'Mar-22'!P26</f>
        <v>82483</v>
      </c>
      <c r="Q26" s="65">
        <f t="shared" si="22"/>
        <v>24.833099579242635</v>
      </c>
      <c r="R26" s="65">
        <f t="shared" si="23"/>
        <v>60.947309417040358</v>
      </c>
      <c r="S26" s="61">
        <f t="shared" si="24"/>
        <v>-0.3300801377253495</v>
      </c>
      <c r="T26" s="69">
        <v>165083</v>
      </c>
      <c r="U26" s="71">
        <f>20768+8294</f>
        <v>29062</v>
      </c>
      <c r="V26" s="71">
        <f>659951+168729+38484</f>
        <v>867164</v>
      </c>
    </row>
    <row r="27" spans="1:38" thickBot="1">
      <c r="A27" s="10"/>
      <c r="B27" s="13"/>
      <c r="C27" s="36" t="s">
        <v>12</v>
      </c>
      <c r="D27" s="37"/>
      <c r="E27" s="38"/>
      <c r="F27" s="47">
        <f t="shared" ref="F27:I28" si="25">F10+F13+F16+F19+F22+F25</f>
        <v>331</v>
      </c>
      <c r="G27" s="47">
        <f t="shared" si="25"/>
        <v>7</v>
      </c>
      <c r="H27" s="47">
        <f t="shared" si="25"/>
        <v>42</v>
      </c>
      <c r="I27" s="47">
        <f t="shared" si="25"/>
        <v>292</v>
      </c>
      <c r="J27" s="67">
        <f t="shared" si="0"/>
        <v>46.285714285714285</v>
      </c>
      <c r="K27" s="67">
        <f t="shared" si="21"/>
        <v>6.8809523809523814</v>
      </c>
      <c r="L27" s="63">
        <f t="shared" si="12"/>
        <v>0.13356164383561642</v>
      </c>
      <c r="M27" s="47">
        <f t="shared" ref="M27:P28" si="26">M10+M13+M16+M19+M22+M25</f>
        <v>963</v>
      </c>
      <c r="N27" s="47">
        <f t="shared" si="26"/>
        <v>19</v>
      </c>
      <c r="O27" s="47">
        <f t="shared" si="26"/>
        <v>607</v>
      </c>
      <c r="P27" s="47">
        <f t="shared" si="26"/>
        <v>927</v>
      </c>
      <c r="Q27" s="67">
        <f t="shared" si="22"/>
        <v>49.684210526315788</v>
      </c>
      <c r="R27" s="67">
        <f t="shared" si="23"/>
        <v>0.58649093904448102</v>
      </c>
      <c r="S27" s="63">
        <f t="shared" si="24"/>
        <v>3.8834951456310662E-2</v>
      </c>
      <c r="T27" s="47">
        <f t="shared" ref="T27:V28" si="27">T10+T13+T16+T19+T22+T25</f>
        <v>1059</v>
      </c>
      <c r="U27" s="47">
        <f t="shared" si="27"/>
        <v>667</v>
      </c>
      <c r="V27" s="47">
        <f t="shared" si="27"/>
        <v>3344</v>
      </c>
    </row>
    <row r="28" spans="1:38" s="23" customFormat="1" ht="15.6" thickTop="1" thickBot="1">
      <c r="A28" s="10"/>
      <c r="B28" s="13"/>
      <c r="C28" s="39" t="s">
        <v>13</v>
      </c>
      <c r="D28" s="40"/>
      <c r="E28" s="41"/>
      <c r="F28" s="48">
        <f t="shared" si="25"/>
        <v>507778</v>
      </c>
      <c r="G28" s="48">
        <f t="shared" si="25"/>
        <v>6002</v>
      </c>
      <c r="H28" s="48">
        <f t="shared" si="25"/>
        <v>0</v>
      </c>
      <c r="I28" s="48">
        <f t="shared" si="25"/>
        <v>791238</v>
      </c>
      <c r="J28" s="68">
        <f t="shared" si="0"/>
        <v>83.601466177940679</v>
      </c>
      <c r="K28" s="68" t="str">
        <f t="shared" si="21"/>
        <v>n/a</v>
      </c>
      <c r="L28" s="64">
        <f t="shared" si="12"/>
        <v>-0.35824871909589784</v>
      </c>
      <c r="M28" s="48">
        <f t="shared" si="26"/>
        <v>1375483</v>
      </c>
      <c r="N28" s="48">
        <f t="shared" si="26"/>
        <v>16105</v>
      </c>
      <c r="O28" s="48">
        <f t="shared" si="26"/>
        <v>1276191</v>
      </c>
      <c r="P28" s="48">
        <f t="shared" si="26"/>
        <v>2581764</v>
      </c>
      <c r="Q28" s="68">
        <f t="shared" si="22"/>
        <v>84.407202732070786</v>
      </c>
      <c r="R28" s="68">
        <f t="shared" si="23"/>
        <v>7.7803400901589104E-2</v>
      </c>
      <c r="S28" s="64">
        <f t="shared" si="24"/>
        <v>-0.46723131936149087</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L48"/>
  <sheetViews>
    <sheetView showGridLines="0" zoomScale="79" zoomScaleNormal="100" workbookViewId="0">
      <selection activeCell="I27" sqref="I27"/>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42</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02" t="s">
        <v>41</v>
      </c>
      <c r="G6" s="102"/>
      <c r="H6" s="102"/>
      <c r="I6" s="102"/>
      <c r="J6" s="102"/>
      <c r="K6" s="102"/>
      <c r="L6" s="103"/>
      <c r="M6" s="104" t="s">
        <v>43</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74</v>
      </c>
      <c r="G10" s="69">
        <v>0</v>
      </c>
      <c r="H10" s="69">
        <v>29</v>
      </c>
      <c r="I10" s="69">
        <v>62</v>
      </c>
      <c r="J10" s="65" t="str">
        <f t="shared" ref="J10:J28" si="0">IFERROR(F10/G10-1,"n/a")</f>
        <v>n/a</v>
      </c>
      <c r="K10" s="65">
        <f>IFERROR(F10/H10-1,"n/a")</f>
        <v>1.5517241379310347</v>
      </c>
      <c r="L10" s="61">
        <f t="shared" ref="L10:L11" si="1">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ht="14.4">
      <c r="A11" s="10"/>
      <c r="B11" s="13"/>
      <c r="C11" s="34"/>
      <c r="D11" s="27" t="s">
        <v>11</v>
      </c>
      <c r="E11" s="33"/>
      <c r="F11" s="69">
        <v>60824</v>
      </c>
      <c r="G11" s="69">
        <v>0</v>
      </c>
      <c r="H11" s="69">
        <v>48626</v>
      </c>
      <c r="I11" s="69">
        <v>108846</v>
      </c>
      <c r="J11" s="65" t="str">
        <f t="shared" si="0"/>
        <v>n/a</v>
      </c>
      <c r="K11" s="65">
        <f t="shared" ref="K11" si="2">IFERROR(F11/H11-1,"n/a")</f>
        <v>0.25085345288528771</v>
      </c>
      <c r="L11" s="61">
        <f t="shared" si="1"/>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24</v>
      </c>
      <c r="G13" s="69">
        <v>0</v>
      </c>
      <c r="H13" s="69">
        <v>10</v>
      </c>
      <c r="I13" s="69">
        <v>44</v>
      </c>
      <c r="J13" s="65" t="str">
        <f t="shared" si="0"/>
        <v>n/a</v>
      </c>
      <c r="K13" s="65">
        <f t="shared" ref="K13:K14" si="3">IFERROR(F13/H13-1,"n/a")</f>
        <v>1.4</v>
      </c>
      <c r="L13" s="61">
        <f t="shared" ref="L13:L14" si="4">IFERROR(F13/I13-1,"n/a")</f>
        <v>-0.45454545454545459</v>
      </c>
      <c r="M13" s="69">
        <v>53</v>
      </c>
      <c r="N13" s="69">
        <v>0</v>
      </c>
      <c r="O13" s="69">
        <v>43</v>
      </c>
      <c r="P13" s="69">
        <v>89</v>
      </c>
      <c r="Q13" s="65" t="str">
        <f t="shared" ref="Q13:Q14" si="5">IFERROR(M13/N13-1,"n/a")</f>
        <v>n/a</v>
      </c>
      <c r="R13" s="65">
        <f t="shared" ref="R13:R14" si="6">IFERROR(M13/O13-1,"n/a")</f>
        <v>0.23255813953488369</v>
      </c>
      <c r="S13" s="61">
        <f t="shared" ref="S13:S14" si="7">IFERROR(M13/P13-1,"n/a")</f>
        <v>-0.4044943820224719</v>
      </c>
      <c r="T13" s="69">
        <v>283</v>
      </c>
      <c r="U13" s="71">
        <v>43</v>
      </c>
      <c r="V13" s="71">
        <v>827</v>
      </c>
    </row>
    <row r="14" spans="1:38" ht="14.4">
      <c r="A14" s="10"/>
      <c r="B14" s="13"/>
      <c r="C14" s="34"/>
      <c r="D14" s="27" t="s">
        <v>11</v>
      </c>
      <c r="E14" s="33"/>
      <c r="F14" s="69">
        <v>32594</v>
      </c>
      <c r="G14" s="69">
        <v>0</v>
      </c>
      <c r="H14" s="69">
        <v>28535</v>
      </c>
      <c r="I14" s="69">
        <v>117674</v>
      </c>
      <c r="J14" s="65" t="str">
        <f t="shared" si="0"/>
        <v>n/a</v>
      </c>
      <c r="K14" s="65">
        <f t="shared" si="3"/>
        <v>0.14224636411424574</v>
      </c>
      <c r="L14" s="61">
        <f t="shared" si="4"/>
        <v>-0.7230144296955997</v>
      </c>
      <c r="M14" s="69">
        <v>68454</v>
      </c>
      <c r="N14" s="69">
        <v>0</v>
      </c>
      <c r="O14" s="69">
        <v>140552</v>
      </c>
      <c r="P14" s="69">
        <v>251900</v>
      </c>
      <c r="Q14" s="65" t="str">
        <f t="shared" si="5"/>
        <v>n/a</v>
      </c>
      <c r="R14" s="65">
        <f t="shared" si="6"/>
        <v>-0.51296317377198475</v>
      </c>
      <c r="S14" s="61">
        <f t="shared" si="7"/>
        <v>-0.72824930527987297</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5</v>
      </c>
      <c r="G16" s="69">
        <v>0</v>
      </c>
      <c r="H16" s="69">
        <v>2</v>
      </c>
      <c r="I16" s="69">
        <v>5</v>
      </c>
      <c r="J16" s="65" t="str">
        <f t="shared" si="0"/>
        <v>n/a</v>
      </c>
      <c r="K16" s="65">
        <f t="shared" ref="K16:K17" si="8">IFERROR(F16/H16-1,"n/a")</f>
        <v>1.5</v>
      </c>
      <c r="L16" s="61">
        <f>IFERROR(F16/I16-1,"n/a")</f>
        <v>0</v>
      </c>
      <c r="M16" s="69">
        <v>10</v>
      </c>
      <c r="N16" s="69">
        <v>0</v>
      </c>
      <c r="O16" s="69">
        <v>3</v>
      </c>
      <c r="P16" s="69">
        <v>6</v>
      </c>
      <c r="Q16" s="65" t="str">
        <f t="shared" ref="Q16:Q17" si="9">IFERROR(M16/N16-1,"n/a")</f>
        <v>n/a</v>
      </c>
      <c r="R16" s="65">
        <f t="shared" ref="R16:R17" si="10">IFERROR(M16/O16-1,"n/a")</f>
        <v>2.3333333333333335</v>
      </c>
      <c r="S16" s="61">
        <f t="shared" ref="S16:S17" si="11">IFERROR(M16/P16-1,"n/a")</f>
        <v>0.66666666666666674</v>
      </c>
      <c r="T16" s="69">
        <v>23</v>
      </c>
      <c r="U16" s="71">
        <v>4</v>
      </c>
      <c r="V16" s="71">
        <v>191</v>
      </c>
    </row>
    <row r="17" spans="1:38" ht="14.4">
      <c r="A17" s="10"/>
      <c r="B17" s="13"/>
      <c r="C17" s="34"/>
      <c r="D17" s="27" t="s">
        <v>11</v>
      </c>
      <c r="E17" s="33"/>
      <c r="F17" s="69">
        <v>364</v>
      </c>
      <c r="G17" s="69">
        <v>0</v>
      </c>
      <c r="H17" s="69">
        <v>819</v>
      </c>
      <c r="I17" s="69">
        <v>4555</v>
      </c>
      <c r="J17" s="65" t="str">
        <f t="shared" si="0"/>
        <v>n/a</v>
      </c>
      <c r="K17" s="65">
        <f t="shared" si="8"/>
        <v>-0.55555555555555558</v>
      </c>
      <c r="L17" s="61">
        <f t="shared" ref="L17:L28" si="12">IFERROR(F17/I17-1,"n/a")</f>
        <v>-0.92008781558726671</v>
      </c>
      <c r="M17" s="69">
        <v>1472</v>
      </c>
      <c r="N17" s="69">
        <v>0</v>
      </c>
      <c r="O17" s="69">
        <v>1642</v>
      </c>
      <c r="P17" s="69">
        <v>5138</v>
      </c>
      <c r="Q17" s="65" t="str">
        <f t="shared" si="9"/>
        <v>n/a</v>
      </c>
      <c r="R17" s="65">
        <f t="shared" si="10"/>
        <v>-0.10353227771010964</v>
      </c>
      <c r="S17" s="61">
        <f t="shared" si="11"/>
        <v>-0.71350720124562084</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130</v>
      </c>
      <c r="G19" s="69">
        <v>0</v>
      </c>
      <c r="H19" s="69">
        <v>118</v>
      </c>
      <c r="I19" s="69">
        <v>108</v>
      </c>
      <c r="J19" s="65" t="str">
        <f t="shared" si="0"/>
        <v>n/a</v>
      </c>
      <c r="K19" s="65">
        <f t="shared" ref="K19:K20" si="13">IFERROR(F19/H19-1,"n/a")</f>
        <v>0.10169491525423724</v>
      </c>
      <c r="L19" s="61">
        <f t="shared" si="12"/>
        <v>0.20370370370370372</v>
      </c>
      <c r="M19" s="69">
        <v>333</v>
      </c>
      <c r="N19" s="69">
        <v>0</v>
      </c>
      <c r="O19" s="69">
        <v>364</v>
      </c>
      <c r="P19" s="69">
        <v>316</v>
      </c>
      <c r="Q19" s="65" t="str">
        <f t="shared" ref="Q19:Q20" si="14">IFERROR(M19/N19-1,"n/a")</f>
        <v>n/a</v>
      </c>
      <c r="R19" s="65">
        <f t="shared" ref="R19:R20" si="15">IFERROR(M19/O19-1,"n/a")</f>
        <v>-8.5164835164835195E-2</v>
      </c>
      <c r="S19" s="61">
        <f t="shared" ref="S19:S20" si="16">IFERROR(M19/P19-1,"n/a")</f>
        <v>5.3797468354430444E-2</v>
      </c>
      <c r="T19" s="69">
        <v>411</v>
      </c>
      <c r="U19" s="71">
        <v>406</v>
      </c>
      <c r="V19" s="71">
        <v>1205</v>
      </c>
    </row>
    <row r="20" spans="1:38" ht="14.4">
      <c r="A20" s="10"/>
      <c r="B20" s="13"/>
      <c r="C20" s="34"/>
      <c r="D20" s="27" t="s">
        <v>11</v>
      </c>
      <c r="E20" s="33"/>
      <c r="F20" s="69">
        <v>283677</v>
      </c>
      <c r="G20" s="69">
        <v>0</v>
      </c>
      <c r="H20" s="69">
        <v>147660</v>
      </c>
      <c r="I20" s="69">
        <v>391750</v>
      </c>
      <c r="J20" s="65" t="str">
        <f t="shared" si="0"/>
        <v>n/a</v>
      </c>
      <c r="K20" s="65">
        <f t="shared" si="13"/>
        <v>0.92114993904916709</v>
      </c>
      <c r="L20" s="61">
        <f t="shared" si="12"/>
        <v>-0.27587236758136569</v>
      </c>
      <c r="M20" s="69">
        <v>603330</v>
      </c>
      <c r="N20" s="69">
        <v>0</v>
      </c>
      <c r="O20" s="69">
        <v>833999</v>
      </c>
      <c r="P20" s="69">
        <v>1065724</v>
      </c>
      <c r="Q20" s="65" t="str">
        <f t="shared" si="14"/>
        <v>n/a</v>
      </c>
      <c r="R20" s="65">
        <f t="shared" si="15"/>
        <v>-0.27658186640511562</v>
      </c>
      <c r="S20" s="61">
        <f t="shared" si="16"/>
        <v>-0.43387781451858076</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14</v>
      </c>
      <c r="G22" s="69">
        <v>4</v>
      </c>
      <c r="H22" s="69">
        <v>1</v>
      </c>
      <c r="I22" s="69">
        <v>9</v>
      </c>
      <c r="J22" s="65">
        <f t="shared" si="0"/>
        <v>2.5</v>
      </c>
      <c r="K22" s="65">
        <f t="shared" ref="K22:K23" si="17">IFERROR(F22/H22-1,"n/a")</f>
        <v>13</v>
      </c>
      <c r="L22" s="61">
        <f t="shared" si="12"/>
        <v>0.55555555555555558</v>
      </c>
      <c r="M22" s="69">
        <v>23</v>
      </c>
      <c r="N22" s="69">
        <v>9</v>
      </c>
      <c r="O22" s="69">
        <v>9</v>
      </c>
      <c r="P22" s="69">
        <v>20</v>
      </c>
      <c r="Q22" s="65">
        <f t="shared" ref="Q22:Q23" si="18">IFERROR(M22/N22-1,"n/a")</f>
        <v>1.5555555555555554</v>
      </c>
      <c r="R22" s="65">
        <f t="shared" ref="R22:R23" si="19">IFERROR(M22/O22-1,"n/a")</f>
        <v>1.5555555555555554</v>
      </c>
      <c r="S22" s="61">
        <f t="shared" ref="S22:S23" si="20">IFERROR(M22/P22-1,"n/a")</f>
        <v>0.14999999999999991</v>
      </c>
      <c r="T22" s="69">
        <v>107</v>
      </c>
      <c r="U22" s="71">
        <v>32</v>
      </c>
      <c r="V22" s="71">
        <v>372</v>
      </c>
    </row>
    <row r="23" spans="1:38" ht="14.4">
      <c r="A23" s="10"/>
      <c r="B23" s="13"/>
      <c r="C23" s="34"/>
      <c r="D23" s="27" t="s">
        <v>11</v>
      </c>
      <c r="E23" s="33"/>
      <c r="F23" s="69">
        <v>19157</v>
      </c>
      <c r="G23" s="69">
        <v>3290</v>
      </c>
      <c r="H23" s="69">
        <v>565</v>
      </c>
      <c r="I23" s="69">
        <v>31670</v>
      </c>
      <c r="J23" s="65">
        <f t="shared" si="0"/>
        <v>4.8227963525835866</v>
      </c>
      <c r="K23" s="65">
        <f t="shared" si="17"/>
        <v>32.906194690265487</v>
      </c>
      <c r="L23" s="61">
        <f t="shared" si="12"/>
        <v>-0.39510577833912219</v>
      </c>
      <c r="M23" s="69">
        <v>26521</v>
      </c>
      <c r="N23" s="69">
        <v>7964</v>
      </c>
      <c r="O23" s="69">
        <v>40221</v>
      </c>
      <c r="P23" s="69">
        <v>76275</v>
      </c>
      <c r="Q23" s="65">
        <f t="shared" si="18"/>
        <v>2.3301104972375692</v>
      </c>
      <c r="R23" s="65">
        <f t="shared" si="19"/>
        <v>-0.34061808507993341</v>
      </c>
      <c r="S23" s="61">
        <f t="shared" si="20"/>
        <v>-0.65229760734185516</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14</v>
      </c>
      <c r="G25" s="69">
        <v>1</v>
      </c>
      <c r="H25" s="69">
        <v>0</v>
      </c>
      <c r="I25" s="69">
        <v>1</v>
      </c>
      <c r="J25" s="65">
        <f t="shared" si="0"/>
        <v>13</v>
      </c>
      <c r="K25" s="65" t="str">
        <f t="shared" ref="K25:K28" si="21">IFERROR(F25/H25-1,"n/a")</f>
        <v>n/a</v>
      </c>
      <c r="L25" s="61">
        <f t="shared" si="12"/>
        <v>13</v>
      </c>
      <c r="M25" s="69">
        <v>16</v>
      </c>
      <c r="N25" s="69">
        <v>3</v>
      </c>
      <c r="O25" s="69">
        <v>1</v>
      </c>
      <c r="P25" s="69">
        <v>4</v>
      </c>
      <c r="Q25" s="65">
        <f t="shared" ref="Q25:Q28" si="22">IFERROR(M25/N25-1,"n/a")</f>
        <v>4.333333333333333</v>
      </c>
      <c r="R25" s="65">
        <f t="shared" ref="R25:R28" si="23">IFERROR(M25/O25-1,"n/a")</f>
        <v>15</v>
      </c>
      <c r="S25" s="61">
        <f t="shared" ref="S25:S28" si="24">IFERROR(M25/P25-1,"n/a")</f>
        <v>3</v>
      </c>
      <c r="T25" s="69">
        <v>124</v>
      </c>
      <c r="U25" s="71">
        <v>37</v>
      </c>
      <c r="V25" s="71">
        <f>282+81</f>
        <v>363</v>
      </c>
    </row>
    <row r="26" spans="1:38" ht="14.4">
      <c r="A26" s="10"/>
      <c r="B26" s="13"/>
      <c r="C26" s="34"/>
      <c r="D26" s="27" t="s">
        <v>11</v>
      </c>
      <c r="E26" s="33"/>
      <c r="F26" s="69">
        <f>8889+728</f>
        <v>9617</v>
      </c>
      <c r="G26" s="69">
        <v>856</v>
      </c>
      <c r="H26" s="69">
        <v>0</v>
      </c>
      <c r="I26" s="69">
        <v>1452</v>
      </c>
      <c r="J26" s="65">
        <f t="shared" si="0"/>
        <v>10.234813084112149</v>
      </c>
      <c r="K26" s="65" t="str">
        <f t="shared" si="21"/>
        <v>n/a</v>
      </c>
      <c r="L26" s="61">
        <f t="shared" si="12"/>
        <v>5.6232782369146008</v>
      </c>
      <c r="M26" s="69">
        <f>10872+728</f>
        <v>11600</v>
      </c>
      <c r="N26" s="69">
        <v>2139</v>
      </c>
      <c r="O26" s="69">
        <v>892</v>
      </c>
      <c r="P26" s="69">
        <v>6109</v>
      </c>
      <c r="Q26" s="65">
        <f t="shared" si="22"/>
        <v>4.4230949041608225</v>
      </c>
      <c r="R26" s="65">
        <f t="shared" si="23"/>
        <v>12.004484304932735</v>
      </c>
      <c r="S26" s="61">
        <f t="shared" si="24"/>
        <v>0.89883778032411188</v>
      </c>
      <c r="T26" s="69">
        <v>165083</v>
      </c>
      <c r="U26" s="71">
        <f>20768+8294</f>
        <v>29062</v>
      </c>
      <c r="V26" s="71">
        <f>659951+168729+38484</f>
        <v>867164</v>
      </c>
    </row>
    <row r="27" spans="1:38" thickBot="1">
      <c r="A27" s="10"/>
      <c r="B27" s="13"/>
      <c r="C27" s="36" t="s">
        <v>12</v>
      </c>
      <c r="D27" s="37"/>
      <c r="E27" s="38"/>
      <c r="F27" s="47">
        <f t="shared" ref="F27:I28" si="25">F10+F13+F16+F19+F22+F25</f>
        <v>261</v>
      </c>
      <c r="G27" s="47">
        <f t="shared" si="25"/>
        <v>5</v>
      </c>
      <c r="H27" s="47">
        <f t="shared" si="25"/>
        <v>160</v>
      </c>
      <c r="I27" s="47">
        <f t="shared" si="25"/>
        <v>229</v>
      </c>
      <c r="J27" s="67">
        <f t="shared" si="0"/>
        <v>51.2</v>
      </c>
      <c r="K27" s="67">
        <f t="shared" si="21"/>
        <v>0.63125000000000009</v>
      </c>
      <c r="L27" s="63">
        <f t="shared" si="12"/>
        <v>0.13973799126637565</v>
      </c>
      <c r="M27" s="47">
        <f t="shared" ref="M27:P28" si="26">M10+M13+M16+M19+M22+M25</f>
        <v>632</v>
      </c>
      <c r="N27" s="47">
        <f t="shared" si="26"/>
        <v>12</v>
      </c>
      <c r="O27" s="47">
        <f t="shared" si="26"/>
        <v>565</v>
      </c>
      <c r="P27" s="47">
        <f t="shared" si="26"/>
        <v>635</v>
      </c>
      <c r="Q27" s="67">
        <f t="shared" si="22"/>
        <v>51.666666666666664</v>
      </c>
      <c r="R27" s="67">
        <f t="shared" si="23"/>
        <v>0.11858407079646027</v>
      </c>
      <c r="S27" s="63">
        <f t="shared" si="24"/>
        <v>-4.7244094488189115E-3</v>
      </c>
      <c r="T27" s="47">
        <f t="shared" ref="T27:V28" si="27">T10+T13+T16+T19+T22+T25</f>
        <v>1059</v>
      </c>
      <c r="U27" s="47">
        <f t="shared" si="27"/>
        <v>667</v>
      </c>
      <c r="V27" s="47">
        <f t="shared" si="27"/>
        <v>3344</v>
      </c>
    </row>
    <row r="28" spans="1:38" s="23" customFormat="1" ht="15.6" thickTop="1" thickBot="1">
      <c r="A28" s="10"/>
      <c r="B28" s="13"/>
      <c r="C28" s="39" t="s">
        <v>13</v>
      </c>
      <c r="D28" s="40"/>
      <c r="E28" s="41"/>
      <c r="F28" s="48">
        <f t="shared" si="25"/>
        <v>406233</v>
      </c>
      <c r="G28" s="48">
        <f t="shared" si="25"/>
        <v>4146</v>
      </c>
      <c r="H28" s="48">
        <f t="shared" si="25"/>
        <v>226205</v>
      </c>
      <c r="I28" s="48">
        <f t="shared" si="25"/>
        <v>655947</v>
      </c>
      <c r="J28" s="68">
        <f t="shared" si="0"/>
        <v>96.981910274963823</v>
      </c>
      <c r="K28" s="68">
        <f t="shared" si="21"/>
        <v>0.79586216042969871</v>
      </c>
      <c r="L28" s="64">
        <f t="shared" si="12"/>
        <v>-0.38069234252157569</v>
      </c>
      <c r="M28" s="48">
        <f t="shared" si="26"/>
        <v>867705</v>
      </c>
      <c r="N28" s="48">
        <f t="shared" si="26"/>
        <v>10103</v>
      </c>
      <c r="O28" s="48">
        <f t="shared" si="26"/>
        <v>1276191</v>
      </c>
      <c r="P28" s="48">
        <f t="shared" si="26"/>
        <v>1790526</v>
      </c>
      <c r="Q28" s="68">
        <f t="shared" si="22"/>
        <v>84.88587548252994</v>
      </c>
      <c r="R28" s="68">
        <f t="shared" si="23"/>
        <v>-0.32008218205582084</v>
      </c>
      <c r="S28" s="64">
        <f t="shared" si="24"/>
        <v>-0.51539100800546878</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L48"/>
  <sheetViews>
    <sheetView showGridLines="0" zoomScale="79" zoomScaleNormal="100" workbookViewId="0">
      <selection activeCell="I27" sqref="I27"/>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40</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02" t="s">
        <v>39</v>
      </c>
      <c r="G6" s="102"/>
      <c r="H6" s="102"/>
      <c r="I6" s="102"/>
      <c r="J6" s="102"/>
      <c r="K6" s="102"/>
      <c r="L6" s="103"/>
      <c r="M6" s="104" t="s">
        <v>38</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59</v>
      </c>
      <c r="G10" s="69">
        <v>0</v>
      </c>
      <c r="H10" s="69">
        <v>55</v>
      </c>
      <c r="I10" s="69">
        <v>62</v>
      </c>
      <c r="J10" s="65" t="str">
        <f t="shared" ref="J10:J28" si="0">IFERROR(F10/G10-1,"n/a")</f>
        <v>n/a</v>
      </c>
      <c r="K10" s="65">
        <f>IFERROR(F10/H10-1,"n/a")</f>
        <v>7.2727272727272751E-2</v>
      </c>
      <c r="L10" s="61">
        <f t="shared" ref="L10:L11" si="1">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ht="14.4">
      <c r="A11" s="10"/>
      <c r="B11" s="13"/>
      <c r="C11" s="34"/>
      <c r="D11" s="27" t="s">
        <v>11</v>
      </c>
      <c r="E11" s="33"/>
      <c r="F11" s="69">
        <v>44710</v>
      </c>
      <c r="G11" s="69">
        <v>0</v>
      </c>
      <c r="H11" s="69">
        <v>101463</v>
      </c>
      <c r="I11" s="69">
        <v>119668</v>
      </c>
      <c r="J11" s="65" t="str">
        <f t="shared" si="0"/>
        <v>n/a</v>
      </c>
      <c r="K11" s="65">
        <f t="shared" ref="K11" si="2">IFERROR(F11/H11-1,"n/a")</f>
        <v>-0.55934675694588176</v>
      </c>
      <c r="L11" s="61">
        <f t="shared" si="1"/>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13</v>
      </c>
      <c r="G13" s="69">
        <v>0</v>
      </c>
      <c r="H13" s="69">
        <v>14</v>
      </c>
      <c r="I13" s="69">
        <v>21</v>
      </c>
      <c r="J13" s="65" t="str">
        <f t="shared" si="0"/>
        <v>n/a</v>
      </c>
      <c r="K13" s="65">
        <f t="shared" ref="K13:K14" si="3">IFERROR(F13/H13-1,"n/a")</f>
        <v>-7.1428571428571397E-2</v>
      </c>
      <c r="L13" s="61">
        <f t="shared" ref="L13:L14" si="4">IFERROR(F13/I13-1,"n/a")</f>
        <v>-0.38095238095238093</v>
      </c>
      <c r="M13" s="69">
        <v>29</v>
      </c>
      <c r="N13" s="69">
        <v>0</v>
      </c>
      <c r="O13" s="69">
        <v>33</v>
      </c>
      <c r="P13" s="69">
        <v>45</v>
      </c>
      <c r="Q13" s="65" t="str">
        <f t="shared" ref="Q13:Q14" si="5">IFERROR(M13/N13-1,"n/a")</f>
        <v>n/a</v>
      </c>
      <c r="R13" s="65">
        <f t="shared" ref="R13:R14" si="6">IFERROR(M13/O13-1,"n/a")</f>
        <v>-0.12121212121212122</v>
      </c>
      <c r="S13" s="61">
        <f t="shared" ref="S13:S14" si="7">IFERROR(M13/P13-1,"n/a")</f>
        <v>-0.35555555555555551</v>
      </c>
      <c r="T13" s="69">
        <v>283</v>
      </c>
      <c r="U13" s="71">
        <v>43</v>
      </c>
      <c r="V13" s="71">
        <v>827</v>
      </c>
    </row>
    <row r="14" spans="1:38" ht="14.4">
      <c r="A14" s="10"/>
      <c r="B14" s="13"/>
      <c r="C14" s="34"/>
      <c r="D14" s="27" t="s">
        <v>11</v>
      </c>
      <c r="E14" s="33"/>
      <c r="F14" s="69">
        <v>14032</v>
      </c>
      <c r="G14" s="69">
        <v>0</v>
      </c>
      <c r="H14" s="69">
        <v>47023</v>
      </c>
      <c r="I14" s="69">
        <v>59703</v>
      </c>
      <c r="J14" s="65" t="str">
        <f t="shared" si="0"/>
        <v>n/a</v>
      </c>
      <c r="K14" s="65">
        <f t="shared" si="3"/>
        <v>-0.70159283754758306</v>
      </c>
      <c r="L14" s="61">
        <f t="shared" si="4"/>
        <v>-0.76496993450915363</v>
      </c>
      <c r="M14" s="69">
        <v>35860</v>
      </c>
      <c r="N14" s="69">
        <v>0</v>
      </c>
      <c r="O14" s="69">
        <v>112017</v>
      </c>
      <c r="P14" s="69">
        <v>134226</v>
      </c>
      <c r="Q14" s="65" t="str">
        <f t="shared" si="5"/>
        <v>n/a</v>
      </c>
      <c r="R14" s="65">
        <f t="shared" si="6"/>
        <v>-0.67987001972914829</v>
      </c>
      <c r="S14" s="61">
        <f t="shared" si="7"/>
        <v>-0.73283864526991782</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2</v>
      </c>
      <c r="G16" s="69">
        <v>0</v>
      </c>
      <c r="H16" s="69">
        <v>0</v>
      </c>
      <c r="I16" s="69">
        <v>1</v>
      </c>
      <c r="J16" s="65" t="str">
        <f t="shared" si="0"/>
        <v>n/a</v>
      </c>
      <c r="K16" s="65" t="str">
        <f t="shared" ref="K16:K17" si="8">IFERROR(F16/H16-1,"n/a")</f>
        <v>n/a</v>
      </c>
      <c r="L16" s="61">
        <f>IFERROR(F16/I16-1,"n/a")</f>
        <v>1</v>
      </c>
      <c r="M16" s="69">
        <v>5</v>
      </c>
      <c r="N16" s="69">
        <v>0</v>
      </c>
      <c r="O16" s="69">
        <v>1</v>
      </c>
      <c r="P16" s="69">
        <v>1</v>
      </c>
      <c r="Q16" s="65" t="str">
        <f t="shared" ref="Q16:Q17" si="9">IFERROR(M16/N16-1,"n/a")</f>
        <v>n/a</v>
      </c>
      <c r="R16" s="65">
        <f t="shared" ref="R16:R17" si="10">IFERROR(M16/O16-1,"n/a")</f>
        <v>4</v>
      </c>
      <c r="S16" s="61">
        <f t="shared" ref="S16:S17" si="11">IFERROR(M16/P16-1,"n/a")</f>
        <v>4</v>
      </c>
      <c r="T16" s="69">
        <v>23</v>
      </c>
      <c r="U16" s="71">
        <v>4</v>
      </c>
      <c r="V16" s="71">
        <v>191</v>
      </c>
    </row>
    <row r="17" spans="1:38" ht="14.4">
      <c r="A17" s="10"/>
      <c r="B17" s="13"/>
      <c r="C17" s="34"/>
      <c r="D17" s="27" t="s">
        <v>11</v>
      </c>
      <c r="E17" s="33"/>
      <c r="F17" s="69">
        <v>294</v>
      </c>
      <c r="G17" s="69">
        <v>0</v>
      </c>
      <c r="H17" s="69">
        <v>0</v>
      </c>
      <c r="I17" s="69">
        <v>583</v>
      </c>
      <c r="J17" s="65" t="str">
        <f t="shared" si="0"/>
        <v>n/a</v>
      </c>
      <c r="K17" s="65" t="str">
        <f t="shared" si="8"/>
        <v>n/a</v>
      </c>
      <c r="L17" s="61">
        <f t="shared" ref="L17:L28" si="12">IFERROR(F17/I17-1,"n/a")</f>
        <v>-0.49571183533447682</v>
      </c>
      <c r="M17" s="69">
        <v>1108</v>
      </c>
      <c r="N17" s="69">
        <v>0</v>
      </c>
      <c r="O17" s="69">
        <v>823</v>
      </c>
      <c r="P17" s="69">
        <v>583</v>
      </c>
      <c r="Q17" s="65" t="str">
        <f t="shared" si="9"/>
        <v>n/a</v>
      </c>
      <c r="R17" s="65">
        <f t="shared" si="10"/>
        <v>0.34629404617253945</v>
      </c>
      <c r="S17" s="61">
        <f t="shared" si="11"/>
        <v>0.90051457975986282</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103</v>
      </c>
      <c r="G19" s="69">
        <v>0</v>
      </c>
      <c r="H19" s="69">
        <v>120</v>
      </c>
      <c r="I19" s="69">
        <v>95</v>
      </c>
      <c r="J19" s="65" t="str">
        <f t="shared" si="0"/>
        <v>n/a</v>
      </c>
      <c r="K19" s="65">
        <f t="shared" ref="K19:K20" si="13">IFERROR(F19/H19-1,"n/a")</f>
        <v>-0.14166666666666672</v>
      </c>
      <c r="L19" s="61">
        <f t="shared" si="12"/>
        <v>8.4210526315789513E-2</v>
      </c>
      <c r="M19" s="69">
        <v>203</v>
      </c>
      <c r="N19" s="69">
        <v>0</v>
      </c>
      <c r="O19" s="69">
        <v>246</v>
      </c>
      <c r="P19" s="69">
        <v>208</v>
      </c>
      <c r="Q19" s="65" t="str">
        <f t="shared" ref="Q19:Q20" si="14">IFERROR(M19/N19-1,"n/a")</f>
        <v>n/a</v>
      </c>
      <c r="R19" s="65">
        <f t="shared" ref="R19:R20" si="15">IFERROR(M19/O19-1,"n/a")</f>
        <v>-0.17479674796747968</v>
      </c>
      <c r="S19" s="61">
        <f t="shared" ref="S19:S20" si="16">IFERROR(M19/P19-1,"n/a")</f>
        <v>-2.4038461538461564E-2</v>
      </c>
      <c r="T19" s="69">
        <v>411</v>
      </c>
      <c r="U19" s="71">
        <v>406</v>
      </c>
      <c r="V19" s="71">
        <v>1205</v>
      </c>
    </row>
    <row r="20" spans="1:38" ht="14.4">
      <c r="A20" s="10"/>
      <c r="B20" s="13"/>
      <c r="C20" s="34"/>
      <c r="D20" s="27" t="s">
        <v>11</v>
      </c>
      <c r="E20" s="33"/>
      <c r="F20" s="69">
        <v>174835</v>
      </c>
      <c r="G20" s="69">
        <v>0</v>
      </c>
      <c r="H20" s="69">
        <v>329055</v>
      </c>
      <c r="I20" s="69">
        <v>305578</v>
      </c>
      <c r="J20" s="65" t="str">
        <f t="shared" si="0"/>
        <v>n/a</v>
      </c>
      <c r="K20" s="65">
        <f t="shared" si="13"/>
        <v>-0.46867544939295858</v>
      </c>
      <c r="L20" s="61">
        <f t="shared" si="12"/>
        <v>-0.42785475394171046</v>
      </c>
      <c r="M20" s="69">
        <v>319653</v>
      </c>
      <c r="N20" s="69">
        <v>0</v>
      </c>
      <c r="O20" s="69">
        <v>686339</v>
      </c>
      <c r="P20" s="69">
        <v>673974</v>
      </c>
      <c r="Q20" s="65" t="str">
        <f t="shared" si="14"/>
        <v>n/a</v>
      </c>
      <c r="R20" s="65">
        <f t="shared" si="15"/>
        <v>-0.53426368019302417</v>
      </c>
      <c r="S20" s="61">
        <f t="shared" si="16"/>
        <v>-0.52571909302139253</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6</v>
      </c>
      <c r="G22" s="69">
        <v>4</v>
      </c>
      <c r="H22" s="69">
        <v>3</v>
      </c>
      <c r="I22" s="69">
        <v>7</v>
      </c>
      <c r="J22" s="65">
        <f t="shared" si="0"/>
        <v>0.5</v>
      </c>
      <c r="K22" s="65">
        <f t="shared" ref="K22:K23" si="17">IFERROR(F22/H22-1,"n/a")</f>
        <v>1</v>
      </c>
      <c r="L22" s="61">
        <f t="shared" si="12"/>
        <v>-0.1428571428571429</v>
      </c>
      <c r="M22" s="69">
        <v>9</v>
      </c>
      <c r="N22" s="69">
        <v>5</v>
      </c>
      <c r="O22" s="69">
        <v>8</v>
      </c>
      <c r="P22" s="69">
        <v>11</v>
      </c>
      <c r="Q22" s="65">
        <f t="shared" ref="Q22:Q23" si="18">IFERROR(M22/N22-1,"n/a")</f>
        <v>0.8</v>
      </c>
      <c r="R22" s="65">
        <f t="shared" ref="R22:R23" si="19">IFERROR(M22/O22-1,"n/a")</f>
        <v>0.125</v>
      </c>
      <c r="S22" s="61">
        <f t="shared" ref="S22:S23" si="20">IFERROR(M22/P22-1,"n/a")</f>
        <v>-0.18181818181818177</v>
      </c>
      <c r="T22" s="69">
        <v>107</v>
      </c>
      <c r="U22" s="71">
        <v>32</v>
      </c>
      <c r="V22" s="71">
        <v>372</v>
      </c>
    </row>
    <row r="23" spans="1:38" ht="14.4">
      <c r="A23" s="10"/>
      <c r="B23" s="13"/>
      <c r="C23" s="34"/>
      <c r="D23" s="27" t="s">
        <v>11</v>
      </c>
      <c r="E23" s="33"/>
      <c r="F23" s="69">
        <v>5662</v>
      </c>
      <c r="G23" s="69">
        <v>4030</v>
      </c>
      <c r="H23" s="69">
        <v>16515</v>
      </c>
      <c r="I23" s="69">
        <v>24890</v>
      </c>
      <c r="J23" s="65">
        <f t="shared" si="0"/>
        <v>0.4049627791563275</v>
      </c>
      <c r="K23" s="65">
        <f t="shared" si="17"/>
        <v>-0.657160157432637</v>
      </c>
      <c r="L23" s="61">
        <f t="shared" si="12"/>
        <v>-0.77251908396946567</v>
      </c>
      <c r="M23" s="69">
        <v>7364</v>
      </c>
      <c r="N23" s="69">
        <v>4674</v>
      </c>
      <c r="O23" s="69">
        <v>39656</v>
      </c>
      <c r="P23" s="69">
        <v>44605</v>
      </c>
      <c r="Q23" s="65">
        <f t="shared" si="18"/>
        <v>0.57552417629439456</v>
      </c>
      <c r="R23" s="65">
        <f t="shared" si="19"/>
        <v>-0.81430300585031268</v>
      </c>
      <c r="S23" s="61">
        <f t="shared" si="20"/>
        <v>-0.83490640062773225</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1</v>
      </c>
      <c r="G25" s="69">
        <v>1</v>
      </c>
      <c r="H25" s="69">
        <v>1</v>
      </c>
      <c r="I25" s="69">
        <v>2</v>
      </c>
      <c r="J25" s="65">
        <f t="shared" si="0"/>
        <v>0</v>
      </c>
      <c r="K25" s="65">
        <f t="shared" ref="K25:K28" si="21">IFERROR(F25/H25-1,"n/a")</f>
        <v>0</v>
      </c>
      <c r="L25" s="61">
        <f t="shared" si="12"/>
        <v>-0.5</v>
      </c>
      <c r="M25" s="69">
        <v>2</v>
      </c>
      <c r="N25" s="69">
        <v>2</v>
      </c>
      <c r="O25" s="69">
        <v>1</v>
      </c>
      <c r="P25" s="69">
        <v>3</v>
      </c>
      <c r="Q25" s="65">
        <f t="shared" ref="Q25:Q28" si="22">IFERROR(M25/N25-1,"n/a")</f>
        <v>0</v>
      </c>
      <c r="R25" s="65">
        <f t="shared" ref="R25:R28" si="23">IFERROR(M25/O25-1,"n/a")</f>
        <v>1</v>
      </c>
      <c r="S25" s="61">
        <f t="shared" ref="S25:S28" si="24">IFERROR(M25/P25-1,"n/a")</f>
        <v>-0.33333333333333337</v>
      </c>
      <c r="T25" s="69">
        <v>124</v>
      </c>
      <c r="U25" s="71">
        <v>37</v>
      </c>
      <c r="V25" s="71">
        <f>282+81</f>
        <v>363</v>
      </c>
    </row>
    <row r="26" spans="1:38" ht="14.4">
      <c r="A26" s="10"/>
      <c r="B26" s="13"/>
      <c r="C26" s="34"/>
      <c r="D26" s="27" t="s">
        <v>11</v>
      </c>
      <c r="E26" s="33"/>
      <c r="F26" s="69">
        <v>1983</v>
      </c>
      <c r="G26" s="69">
        <v>639</v>
      </c>
      <c r="H26" s="69">
        <v>892</v>
      </c>
      <c r="I26" s="69">
        <v>3305</v>
      </c>
      <c r="J26" s="65">
        <f t="shared" si="0"/>
        <v>2.103286384976526</v>
      </c>
      <c r="K26" s="65">
        <f t="shared" si="21"/>
        <v>1.2230941704035874</v>
      </c>
      <c r="L26" s="61">
        <f t="shared" si="12"/>
        <v>-0.4</v>
      </c>
      <c r="M26" s="69">
        <v>1983</v>
      </c>
      <c r="N26" s="69">
        <v>1283</v>
      </c>
      <c r="O26" s="69">
        <v>892</v>
      </c>
      <c r="P26" s="69">
        <v>4657</v>
      </c>
      <c r="Q26" s="65">
        <f t="shared" si="22"/>
        <v>0.54559625876851126</v>
      </c>
      <c r="R26" s="65">
        <f t="shared" si="23"/>
        <v>1.2230941704035874</v>
      </c>
      <c r="S26" s="61">
        <f t="shared" si="24"/>
        <v>-0.57418939231264765</v>
      </c>
      <c r="T26" s="69">
        <v>165083</v>
      </c>
      <c r="U26" s="71">
        <f>20768+8294</f>
        <v>29062</v>
      </c>
      <c r="V26" s="71">
        <f>659951+168729+38484</f>
        <v>867164</v>
      </c>
    </row>
    <row r="27" spans="1:38" thickBot="1">
      <c r="A27" s="10"/>
      <c r="B27" s="13"/>
      <c r="C27" s="36" t="s">
        <v>12</v>
      </c>
      <c r="D27" s="37"/>
      <c r="E27" s="38"/>
      <c r="F27" s="47">
        <f t="shared" ref="F27:I28" si="25">F10+F13+F16+F19+F22+F25</f>
        <v>184</v>
      </c>
      <c r="G27" s="47">
        <f t="shared" si="25"/>
        <v>5</v>
      </c>
      <c r="H27" s="47">
        <f t="shared" si="25"/>
        <v>193</v>
      </c>
      <c r="I27" s="47">
        <f t="shared" si="25"/>
        <v>188</v>
      </c>
      <c r="J27" s="67">
        <f t="shared" si="0"/>
        <v>35.799999999999997</v>
      </c>
      <c r="K27" s="67">
        <f t="shared" si="21"/>
        <v>-4.6632124352331661E-2</v>
      </c>
      <c r="L27" s="63">
        <f t="shared" si="12"/>
        <v>-2.1276595744680882E-2</v>
      </c>
      <c r="M27" s="47">
        <f t="shared" ref="M27:P28" si="26">M10+M13+M16+M19+M22+M25</f>
        <v>371</v>
      </c>
      <c r="N27" s="47">
        <f t="shared" si="26"/>
        <v>7</v>
      </c>
      <c r="O27" s="47">
        <f t="shared" si="26"/>
        <v>405</v>
      </c>
      <c r="P27" s="47">
        <f t="shared" si="26"/>
        <v>406</v>
      </c>
      <c r="Q27" s="67">
        <f t="shared" si="22"/>
        <v>52</v>
      </c>
      <c r="R27" s="67">
        <f t="shared" si="23"/>
        <v>-8.395061728395059E-2</v>
      </c>
      <c r="S27" s="63">
        <f t="shared" si="24"/>
        <v>-8.6206896551724088E-2</v>
      </c>
      <c r="T27" s="47">
        <f t="shared" ref="T27:V28" si="27">T10+T13+T16+T19+T22+T25</f>
        <v>1059</v>
      </c>
      <c r="U27" s="47">
        <f t="shared" si="27"/>
        <v>667</v>
      </c>
      <c r="V27" s="47">
        <f t="shared" si="27"/>
        <v>3344</v>
      </c>
    </row>
    <row r="28" spans="1:38" s="23" customFormat="1" ht="15.6" thickTop="1" thickBot="1">
      <c r="A28" s="10"/>
      <c r="B28" s="13"/>
      <c r="C28" s="39" t="s">
        <v>13</v>
      </c>
      <c r="D28" s="40"/>
      <c r="E28" s="41"/>
      <c r="F28" s="48">
        <f t="shared" si="25"/>
        <v>241516</v>
      </c>
      <c r="G28" s="48">
        <f t="shared" si="25"/>
        <v>4669</v>
      </c>
      <c r="H28" s="48">
        <f t="shared" si="25"/>
        <v>494948</v>
      </c>
      <c r="I28" s="48">
        <f t="shared" si="25"/>
        <v>513727</v>
      </c>
      <c r="J28" s="68">
        <f t="shared" si="0"/>
        <v>50.727564789034055</v>
      </c>
      <c r="K28" s="68">
        <f t="shared" si="21"/>
        <v>-0.5120376281952852</v>
      </c>
      <c r="L28" s="64">
        <f t="shared" si="12"/>
        <v>-0.52987481678011861</v>
      </c>
      <c r="M28" s="48">
        <f t="shared" si="26"/>
        <v>461472</v>
      </c>
      <c r="N28" s="48">
        <f t="shared" si="26"/>
        <v>5957</v>
      </c>
      <c r="O28" s="48">
        <f t="shared" si="26"/>
        <v>1049986</v>
      </c>
      <c r="P28" s="48">
        <f t="shared" si="26"/>
        <v>1134579</v>
      </c>
      <c r="Q28" s="68">
        <f t="shared" si="22"/>
        <v>76.467181467181462</v>
      </c>
      <c r="R28" s="68">
        <f t="shared" si="23"/>
        <v>-0.56049699710281853</v>
      </c>
      <c r="S28" s="64">
        <f t="shared" si="24"/>
        <v>-0.59326587218695215</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10"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37</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s="21" customFormat="1" ht="14.4">
      <c r="A6" s="10"/>
      <c r="B6"/>
      <c r="C6" s="28" t="s">
        <v>7</v>
      </c>
      <c r="D6" s="29"/>
      <c r="E6" s="29"/>
      <c r="F6" s="102" t="s">
        <v>33</v>
      </c>
      <c r="G6" s="102"/>
      <c r="H6" s="102"/>
      <c r="I6" s="102"/>
      <c r="J6" s="102"/>
      <c r="K6" s="102"/>
      <c r="L6" s="103"/>
      <c r="M6" s="104" t="s">
        <v>33</v>
      </c>
      <c r="N6" s="102"/>
      <c r="O6" s="102"/>
      <c r="P6" s="102"/>
      <c r="Q6" s="102"/>
      <c r="R6" s="102"/>
      <c r="S6" s="103"/>
      <c r="T6" s="104" t="s">
        <v>9</v>
      </c>
      <c r="U6" s="102"/>
      <c r="V6" s="102"/>
      <c r="W6" s="10"/>
      <c r="X6" s="20"/>
      <c r="Y6" s="20"/>
      <c r="Z6" s="20"/>
      <c r="AA6" s="20"/>
      <c r="AB6" s="20"/>
      <c r="AC6" s="20"/>
      <c r="AD6" s="20"/>
      <c r="AE6" s="20"/>
      <c r="AF6" s="20"/>
      <c r="AG6" s="20"/>
      <c r="AH6" s="20"/>
      <c r="AI6" s="20"/>
      <c r="AJ6" s="20"/>
      <c r="AK6" s="20"/>
      <c r="AL6" s="20"/>
    </row>
    <row r="7" spans="1:38" ht="14.4">
      <c r="A7" s="10"/>
      <c r="B7" s="19"/>
      <c r="C7" s="30"/>
      <c r="D7" s="31"/>
      <c r="E7" s="31"/>
      <c r="F7" s="30"/>
      <c r="G7" s="31"/>
      <c r="H7" s="31"/>
      <c r="I7" s="31"/>
      <c r="J7" s="31"/>
      <c r="K7" s="31"/>
      <c r="L7" s="57"/>
      <c r="M7" s="31"/>
      <c r="N7" s="31"/>
      <c r="O7" s="31"/>
      <c r="P7" s="31"/>
      <c r="Q7" s="31"/>
      <c r="R7" s="31"/>
      <c r="S7" s="57"/>
      <c r="T7" s="31"/>
      <c r="U7" s="31"/>
      <c r="V7" s="31"/>
    </row>
    <row r="8" spans="1:38" s="55" customFormat="1" ht="20.399999999999999">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4.4">
      <c r="A9" s="10"/>
      <c r="B9" s="13"/>
      <c r="C9" s="32" t="s">
        <v>14</v>
      </c>
      <c r="D9" s="27"/>
      <c r="E9" s="33"/>
      <c r="F9" s="27"/>
      <c r="G9" s="27"/>
      <c r="H9" s="27"/>
      <c r="I9" s="27"/>
      <c r="J9" s="27"/>
      <c r="K9" s="27"/>
      <c r="L9" s="33"/>
      <c r="M9" s="27"/>
      <c r="N9" s="27"/>
      <c r="O9" s="27"/>
      <c r="P9" s="27"/>
      <c r="Q9" s="27"/>
      <c r="R9" s="27"/>
      <c r="S9" s="33"/>
      <c r="T9" s="27"/>
      <c r="U9" s="27"/>
      <c r="V9" s="27"/>
    </row>
    <row r="10" spans="1:38" ht="14.4">
      <c r="A10" s="10"/>
      <c r="B10" s="13"/>
      <c r="C10" s="34"/>
      <c r="D10" s="27" t="s">
        <v>5</v>
      </c>
      <c r="E10" s="33"/>
      <c r="F10" s="69">
        <v>64</v>
      </c>
      <c r="G10" s="69">
        <v>0</v>
      </c>
      <c r="H10" s="69">
        <v>61</v>
      </c>
      <c r="I10" s="69">
        <v>76</v>
      </c>
      <c r="J10" s="65" t="str">
        <f t="shared" ref="J10:J28" si="0">IFERROR(F10/G10-1,"n/a")</f>
        <v>n/a</v>
      </c>
      <c r="K10" s="65">
        <f>IFERROR(F10/H10-1,"n/a")</f>
        <v>4.9180327868852514E-2</v>
      </c>
      <c r="L10" s="61">
        <f t="shared" ref="L10:L11" si="1">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ht="14.4">
      <c r="A11" s="10"/>
      <c r="B11" s="13"/>
      <c r="C11" s="34"/>
      <c r="D11" s="27" t="s">
        <v>11</v>
      </c>
      <c r="E11" s="33"/>
      <c r="F11" s="69">
        <v>50794</v>
      </c>
      <c r="G11" s="69">
        <v>0</v>
      </c>
      <c r="H11" s="69">
        <v>108796</v>
      </c>
      <c r="I11" s="69">
        <v>156866</v>
      </c>
      <c r="J11" s="65" t="str">
        <f t="shared" si="0"/>
        <v>n/a</v>
      </c>
      <c r="K11" s="65">
        <f t="shared" ref="K11" si="2">IFERROR(F11/H11-1,"n/a")</f>
        <v>-0.53312621787565717</v>
      </c>
      <c r="L11" s="61">
        <f t="shared" si="1"/>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ht="14.4">
      <c r="A12" s="10"/>
      <c r="B12" s="13"/>
      <c r="C12" s="32" t="s">
        <v>74</v>
      </c>
      <c r="D12" s="27"/>
      <c r="E12" s="33"/>
      <c r="F12" s="46"/>
      <c r="G12" s="46"/>
      <c r="H12" s="46"/>
      <c r="I12" s="46"/>
      <c r="J12" s="65"/>
      <c r="K12" s="65"/>
      <c r="L12" s="62"/>
      <c r="M12" s="44"/>
      <c r="N12" s="44"/>
      <c r="O12" s="44"/>
      <c r="P12" s="44"/>
      <c r="Q12" s="65"/>
      <c r="R12" s="66"/>
      <c r="S12" s="62"/>
      <c r="T12" s="44"/>
      <c r="U12" s="45"/>
      <c r="V12" s="45"/>
    </row>
    <row r="13" spans="1:38" ht="14.4">
      <c r="A13" s="10"/>
      <c r="B13" s="13"/>
      <c r="C13" s="34"/>
      <c r="D13" s="27" t="s">
        <v>5</v>
      </c>
      <c r="E13" s="33"/>
      <c r="F13" s="69">
        <v>16</v>
      </c>
      <c r="G13" s="69">
        <v>0</v>
      </c>
      <c r="H13" s="69">
        <v>19</v>
      </c>
      <c r="I13" s="69">
        <v>24</v>
      </c>
      <c r="J13" s="65" t="str">
        <f t="shared" si="0"/>
        <v>n/a</v>
      </c>
      <c r="K13" s="65">
        <f t="shared" ref="K13:K14" si="3">IFERROR(F13/H13-1,"n/a")</f>
        <v>-0.15789473684210531</v>
      </c>
      <c r="L13" s="61">
        <f t="shared" ref="L13:L14" si="4">IFERROR(F13/I13-1,"n/a")</f>
        <v>-0.33333333333333337</v>
      </c>
      <c r="M13" s="69">
        <v>16</v>
      </c>
      <c r="N13" s="69">
        <v>0</v>
      </c>
      <c r="O13" s="69">
        <v>19</v>
      </c>
      <c r="P13" s="69">
        <v>24</v>
      </c>
      <c r="Q13" s="65" t="str">
        <f t="shared" ref="Q13:Q14" si="5">IFERROR(M13/N13-1,"n/a")</f>
        <v>n/a</v>
      </c>
      <c r="R13" s="65">
        <f t="shared" ref="R13:R14" si="6">IFERROR(M13/O13-1,"n/a")</f>
        <v>-0.15789473684210531</v>
      </c>
      <c r="S13" s="61">
        <f t="shared" ref="S13:S14" si="7">IFERROR(M13/P13-1,"n/a")</f>
        <v>-0.33333333333333337</v>
      </c>
      <c r="T13" s="69">
        <v>283</v>
      </c>
      <c r="U13" s="71">
        <v>43</v>
      </c>
      <c r="V13" s="71">
        <v>827</v>
      </c>
    </row>
    <row r="14" spans="1:38" ht="14.4">
      <c r="A14" s="10"/>
      <c r="B14" s="13"/>
      <c r="C14" s="34"/>
      <c r="D14" s="27" t="s">
        <v>11</v>
      </c>
      <c r="E14" s="33"/>
      <c r="F14" s="69">
        <v>21828</v>
      </c>
      <c r="G14" s="69">
        <v>0</v>
      </c>
      <c r="H14" s="69">
        <v>64994</v>
      </c>
      <c r="I14" s="69">
        <v>74523</v>
      </c>
      <c r="J14" s="65" t="str">
        <f t="shared" si="0"/>
        <v>n/a</v>
      </c>
      <c r="K14" s="65">
        <f t="shared" si="3"/>
        <v>-0.66415361417977037</v>
      </c>
      <c r="L14" s="61">
        <f t="shared" si="4"/>
        <v>-0.70709713779638506</v>
      </c>
      <c r="M14" s="69">
        <v>21828</v>
      </c>
      <c r="N14" s="69">
        <v>0</v>
      </c>
      <c r="O14" s="69">
        <v>64994</v>
      </c>
      <c r="P14" s="69">
        <v>74523</v>
      </c>
      <c r="Q14" s="65" t="str">
        <f t="shared" si="5"/>
        <v>n/a</v>
      </c>
      <c r="R14" s="65">
        <f t="shared" si="6"/>
        <v>-0.66415361417977037</v>
      </c>
      <c r="S14" s="61">
        <f t="shared" si="7"/>
        <v>-0.70709713779638506</v>
      </c>
      <c r="T14" s="69">
        <v>465109</v>
      </c>
      <c r="U14" s="71">
        <v>140552</v>
      </c>
      <c r="V14" s="71">
        <v>2552942</v>
      </c>
    </row>
    <row r="15" spans="1:38" ht="14.4">
      <c r="A15" s="10"/>
      <c r="B15" s="13"/>
      <c r="C15" s="32" t="s">
        <v>15</v>
      </c>
      <c r="D15" s="27"/>
      <c r="E15" s="33"/>
      <c r="F15" s="44"/>
      <c r="G15" s="44"/>
      <c r="H15" s="44"/>
      <c r="I15" s="44"/>
      <c r="J15" s="65"/>
      <c r="K15" s="65"/>
      <c r="L15" s="61"/>
      <c r="M15" s="44"/>
      <c r="N15" s="44"/>
      <c r="O15" s="44"/>
      <c r="P15" s="44"/>
      <c r="Q15" s="65"/>
      <c r="R15" s="65"/>
      <c r="S15" s="61"/>
      <c r="T15" s="44"/>
      <c r="U15" s="45"/>
      <c r="V15" s="45"/>
    </row>
    <row r="16" spans="1:38" ht="14.4">
      <c r="A16" s="10"/>
      <c r="B16" s="13"/>
      <c r="C16" s="34"/>
      <c r="D16" s="27" t="s">
        <v>5</v>
      </c>
      <c r="E16" s="33"/>
      <c r="F16" s="69">
        <v>3</v>
      </c>
      <c r="G16" s="69">
        <v>0</v>
      </c>
      <c r="H16" s="69">
        <v>1</v>
      </c>
      <c r="I16" s="69">
        <v>0</v>
      </c>
      <c r="J16" s="65" t="str">
        <f t="shared" si="0"/>
        <v>n/a</v>
      </c>
      <c r="K16" s="65">
        <f t="shared" ref="K16:K17" si="8">IFERROR(F16/H16-1,"n/a")</f>
        <v>2</v>
      </c>
      <c r="L16" s="61" t="str">
        <f>IFERROR(F16/I16-1,"n/a")</f>
        <v>n/a</v>
      </c>
      <c r="M16" s="69">
        <v>3</v>
      </c>
      <c r="N16" s="69">
        <v>0</v>
      </c>
      <c r="O16" s="69">
        <v>1</v>
      </c>
      <c r="P16" s="69">
        <v>0</v>
      </c>
      <c r="Q16" s="65" t="str">
        <f t="shared" ref="Q16:Q17" si="9">IFERROR(M16/N16-1,"n/a")</f>
        <v>n/a</v>
      </c>
      <c r="R16" s="65">
        <f t="shared" ref="R16:R17" si="10">IFERROR(M16/O16-1,"n/a")</f>
        <v>2</v>
      </c>
      <c r="S16" s="61" t="str">
        <f t="shared" ref="S16:S17" si="11">IFERROR(M16/P16-1,"n/a")</f>
        <v>n/a</v>
      </c>
      <c r="T16" s="69">
        <v>23</v>
      </c>
      <c r="U16" s="71">
        <v>4</v>
      </c>
      <c r="V16" s="71">
        <v>191</v>
      </c>
    </row>
    <row r="17" spans="1:38" ht="14.4">
      <c r="A17" s="10"/>
      <c r="B17" s="13"/>
      <c r="C17" s="34"/>
      <c r="D17" s="27" t="s">
        <v>11</v>
      </c>
      <c r="E17" s="33"/>
      <c r="F17" s="69">
        <v>814</v>
      </c>
      <c r="G17" s="69">
        <v>0</v>
      </c>
      <c r="H17" s="69">
        <v>823</v>
      </c>
      <c r="I17" s="69">
        <v>0</v>
      </c>
      <c r="J17" s="65" t="str">
        <f t="shared" si="0"/>
        <v>n/a</v>
      </c>
      <c r="K17" s="65">
        <f t="shared" si="8"/>
        <v>-1.0935601458080146E-2</v>
      </c>
      <c r="L17" s="61" t="str">
        <f t="shared" ref="L17:L28" si="12">IFERROR(F17/I17-1,"n/a")</f>
        <v>n/a</v>
      </c>
      <c r="M17" s="69">
        <v>814</v>
      </c>
      <c r="N17" s="69">
        <v>0</v>
      </c>
      <c r="O17" s="69">
        <v>823</v>
      </c>
      <c r="P17" s="69">
        <v>0</v>
      </c>
      <c r="Q17" s="65" t="str">
        <f t="shared" si="9"/>
        <v>n/a</v>
      </c>
      <c r="R17" s="65">
        <f t="shared" si="10"/>
        <v>-1.0935601458080146E-2</v>
      </c>
      <c r="S17" s="61" t="str">
        <f t="shared" si="11"/>
        <v>n/a</v>
      </c>
      <c r="T17" s="69">
        <v>8611</v>
      </c>
      <c r="U17" s="71">
        <v>1753</v>
      </c>
      <c r="V17" s="71">
        <v>254421</v>
      </c>
    </row>
    <row r="18" spans="1:38" ht="14.4">
      <c r="A18" s="10"/>
      <c r="B18" s="13"/>
      <c r="C18" s="32" t="s">
        <v>10</v>
      </c>
      <c r="D18" s="27"/>
      <c r="E18" s="35"/>
      <c r="F18" s="44"/>
      <c r="G18" s="44"/>
      <c r="H18" s="44"/>
      <c r="I18" s="44"/>
      <c r="J18" s="65"/>
      <c r="K18" s="65"/>
      <c r="L18" s="61"/>
      <c r="M18" s="44"/>
      <c r="N18" s="44"/>
      <c r="O18" s="44"/>
      <c r="P18" s="44"/>
      <c r="Q18" s="65"/>
      <c r="R18" s="65"/>
      <c r="S18" s="61"/>
      <c r="T18" s="44"/>
      <c r="U18" s="45"/>
      <c r="V18" s="45"/>
    </row>
    <row r="19" spans="1:38" ht="14.4">
      <c r="A19" s="10"/>
      <c r="B19" s="13"/>
      <c r="C19" s="34"/>
      <c r="D19" s="27" t="s">
        <v>5</v>
      </c>
      <c r="E19" s="35"/>
      <c r="F19" s="69">
        <v>100</v>
      </c>
      <c r="G19" s="69">
        <v>0</v>
      </c>
      <c r="H19" s="69">
        <v>126</v>
      </c>
      <c r="I19" s="69">
        <v>113</v>
      </c>
      <c r="J19" s="65" t="str">
        <f t="shared" si="0"/>
        <v>n/a</v>
      </c>
      <c r="K19" s="65">
        <f t="shared" ref="K19:K20" si="13">IFERROR(F19/H19-1,"n/a")</f>
        <v>-0.20634920634920639</v>
      </c>
      <c r="L19" s="61">
        <f t="shared" si="12"/>
        <v>-0.11504424778761058</v>
      </c>
      <c r="M19" s="69">
        <v>100</v>
      </c>
      <c r="N19" s="69">
        <v>0</v>
      </c>
      <c r="O19" s="69">
        <v>126</v>
      </c>
      <c r="P19" s="69">
        <v>113</v>
      </c>
      <c r="Q19" s="65" t="str">
        <f t="shared" ref="Q19:Q20" si="14">IFERROR(M19/N19-1,"n/a")</f>
        <v>n/a</v>
      </c>
      <c r="R19" s="65">
        <f t="shared" ref="R19:R20" si="15">IFERROR(M19/O19-1,"n/a")</f>
        <v>-0.20634920634920639</v>
      </c>
      <c r="S19" s="61">
        <f t="shared" ref="S19:S20" si="16">IFERROR(M19/P19-1,"n/a")</f>
        <v>-0.11504424778761058</v>
      </c>
      <c r="T19" s="69">
        <v>411</v>
      </c>
      <c r="U19" s="71">
        <v>406</v>
      </c>
      <c r="V19" s="71">
        <v>1205</v>
      </c>
    </row>
    <row r="20" spans="1:38" ht="14.4">
      <c r="A20" s="10"/>
      <c r="B20" s="13"/>
      <c r="C20" s="34"/>
      <c r="D20" s="27" t="s">
        <v>11</v>
      </c>
      <c r="E20" s="33"/>
      <c r="F20" s="69">
        <v>144818</v>
      </c>
      <c r="G20" s="69">
        <v>0</v>
      </c>
      <c r="H20" s="69">
        <v>357284</v>
      </c>
      <c r="I20" s="69">
        <v>368396</v>
      </c>
      <c r="J20" s="65" t="str">
        <f t="shared" si="0"/>
        <v>n/a</v>
      </c>
      <c r="K20" s="65">
        <f t="shared" si="13"/>
        <v>-0.59466978650037505</v>
      </c>
      <c r="L20" s="61">
        <f t="shared" si="12"/>
        <v>-0.60689584034571498</v>
      </c>
      <c r="M20" s="69">
        <v>144818</v>
      </c>
      <c r="N20" s="69">
        <v>0</v>
      </c>
      <c r="O20" s="69">
        <v>357284</v>
      </c>
      <c r="P20" s="69">
        <v>368396</v>
      </c>
      <c r="Q20" s="65" t="str">
        <f t="shared" si="14"/>
        <v>n/a</v>
      </c>
      <c r="R20" s="65">
        <f t="shared" si="15"/>
        <v>-0.59466978650037505</v>
      </c>
      <c r="S20" s="61">
        <f t="shared" si="16"/>
        <v>-0.60689584034571498</v>
      </c>
      <c r="T20" s="69">
        <v>687449</v>
      </c>
      <c r="U20" s="71">
        <v>833999</v>
      </c>
      <c r="V20" s="71">
        <v>3859183</v>
      </c>
    </row>
    <row r="21" spans="1:38" ht="14.4">
      <c r="A21" s="10"/>
      <c r="B21" s="13"/>
      <c r="C21" s="32" t="s">
        <v>16</v>
      </c>
      <c r="D21" s="27"/>
      <c r="E21" s="33"/>
      <c r="F21" s="44"/>
      <c r="G21" s="44"/>
      <c r="H21" s="44"/>
      <c r="I21" s="44"/>
      <c r="J21" s="65"/>
      <c r="K21" s="65"/>
      <c r="L21" s="61"/>
      <c r="M21" s="44"/>
      <c r="N21" s="44"/>
      <c r="O21" s="44"/>
      <c r="P21" s="44"/>
      <c r="Q21" s="65"/>
      <c r="R21" s="65"/>
      <c r="S21" s="61"/>
      <c r="T21" s="44"/>
      <c r="U21" s="45"/>
      <c r="V21" s="45"/>
    </row>
    <row r="22" spans="1:38" ht="14.4">
      <c r="A22" s="10"/>
      <c r="B22" s="13"/>
      <c r="C22" s="34"/>
      <c r="D22" s="27" t="s">
        <v>5</v>
      </c>
      <c r="E22" s="33"/>
      <c r="F22" s="69">
        <v>3</v>
      </c>
      <c r="G22" s="69">
        <v>1</v>
      </c>
      <c r="H22" s="69">
        <v>5</v>
      </c>
      <c r="I22" s="69">
        <v>4</v>
      </c>
      <c r="J22" s="65">
        <f t="shared" si="0"/>
        <v>2</v>
      </c>
      <c r="K22" s="65">
        <f t="shared" ref="K22:K23" si="17">IFERROR(F22/H22-1,"n/a")</f>
        <v>-0.4</v>
      </c>
      <c r="L22" s="61">
        <f t="shared" si="12"/>
        <v>-0.25</v>
      </c>
      <c r="M22" s="69">
        <v>3</v>
      </c>
      <c r="N22" s="69">
        <v>1</v>
      </c>
      <c r="O22" s="69">
        <v>5</v>
      </c>
      <c r="P22" s="69">
        <v>4</v>
      </c>
      <c r="Q22" s="65">
        <f t="shared" ref="Q22:Q23" si="18">IFERROR(M22/N22-1,"n/a")</f>
        <v>2</v>
      </c>
      <c r="R22" s="65">
        <f t="shared" ref="R22:R23" si="19">IFERROR(M22/O22-1,"n/a")</f>
        <v>-0.4</v>
      </c>
      <c r="S22" s="61">
        <f t="shared" ref="S22:S23" si="20">IFERROR(M22/P22-1,"n/a")</f>
        <v>-0.25</v>
      </c>
      <c r="T22" s="69">
        <v>107</v>
      </c>
      <c r="U22" s="71">
        <v>32</v>
      </c>
      <c r="V22" s="71">
        <v>372</v>
      </c>
    </row>
    <row r="23" spans="1:38" ht="14.4">
      <c r="A23" s="10"/>
      <c r="B23" s="13"/>
      <c r="C23" s="34"/>
      <c r="D23" s="27" t="s">
        <v>11</v>
      </c>
      <c r="E23" s="33"/>
      <c r="F23" s="69">
        <v>1702</v>
      </c>
      <c r="G23" s="69">
        <v>644</v>
      </c>
      <c r="H23" s="69">
        <v>23141</v>
      </c>
      <c r="I23" s="69">
        <v>19715</v>
      </c>
      <c r="J23" s="65">
        <f t="shared" si="0"/>
        <v>1.6428571428571428</v>
      </c>
      <c r="K23" s="65">
        <f t="shared" si="17"/>
        <v>-0.92645088803422493</v>
      </c>
      <c r="L23" s="61">
        <f t="shared" si="12"/>
        <v>-0.9136697945726604</v>
      </c>
      <c r="M23" s="69">
        <v>1702</v>
      </c>
      <c r="N23" s="69">
        <v>644</v>
      </c>
      <c r="O23" s="69">
        <v>23141</v>
      </c>
      <c r="P23" s="69">
        <v>19715</v>
      </c>
      <c r="Q23" s="65">
        <f t="shared" si="18"/>
        <v>1.6428571428571428</v>
      </c>
      <c r="R23" s="65">
        <f t="shared" si="19"/>
        <v>-0.92645088803422493</v>
      </c>
      <c r="S23" s="61">
        <f t="shared" si="20"/>
        <v>-0.9136697945726604</v>
      </c>
      <c r="T23" s="69">
        <v>147132</v>
      </c>
      <c r="U23" s="71">
        <v>59180</v>
      </c>
      <c r="V23" s="71">
        <v>902015</v>
      </c>
    </row>
    <row r="24" spans="1:38" ht="14.4">
      <c r="A24" s="10"/>
      <c r="B24" s="13"/>
      <c r="C24" s="32" t="s">
        <v>17</v>
      </c>
      <c r="D24" s="27"/>
      <c r="E24" s="33"/>
      <c r="F24" s="44"/>
      <c r="G24" s="44"/>
      <c r="H24" s="44"/>
      <c r="I24" s="44"/>
      <c r="J24" s="65"/>
      <c r="K24" s="65"/>
      <c r="L24" s="61"/>
      <c r="M24" s="44"/>
      <c r="N24" s="44"/>
      <c r="O24" s="44"/>
      <c r="P24" s="44"/>
      <c r="Q24" s="65"/>
      <c r="R24" s="65"/>
      <c r="S24" s="61"/>
      <c r="T24" s="44"/>
      <c r="U24" s="45"/>
      <c r="V24" s="45"/>
    </row>
    <row r="25" spans="1:38" ht="14.4">
      <c r="B25" s="13"/>
      <c r="C25" s="34"/>
      <c r="D25" s="27" t="s">
        <v>5</v>
      </c>
      <c r="E25" s="33"/>
      <c r="F25" s="69">
        <v>0</v>
      </c>
      <c r="G25" s="69">
        <v>1</v>
      </c>
      <c r="H25" s="69">
        <v>0</v>
      </c>
      <c r="I25" s="69">
        <v>1</v>
      </c>
      <c r="J25" s="65">
        <f t="shared" si="0"/>
        <v>-1</v>
      </c>
      <c r="K25" s="65" t="str">
        <f t="shared" ref="K25:K28" si="21">IFERROR(F25/H25-1,"n/a")</f>
        <v>n/a</v>
      </c>
      <c r="L25" s="61">
        <f t="shared" si="12"/>
        <v>-1</v>
      </c>
      <c r="M25" s="69">
        <v>0</v>
      </c>
      <c r="N25" s="69">
        <v>1</v>
      </c>
      <c r="O25" s="69">
        <v>0</v>
      </c>
      <c r="P25" s="69">
        <v>1</v>
      </c>
      <c r="Q25" s="65">
        <f t="shared" ref="Q25:Q28" si="22">IFERROR(M25/N25-1,"n/a")</f>
        <v>-1</v>
      </c>
      <c r="R25" s="65" t="str">
        <f t="shared" ref="R25:R28" si="23">IFERROR(M25/O25-1,"n/a")</f>
        <v>n/a</v>
      </c>
      <c r="S25" s="61">
        <f t="shared" ref="S25:S28" si="24">IFERROR(M25/P25-1,"n/a")</f>
        <v>-1</v>
      </c>
      <c r="T25" s="69">
        <v>124</v>
      </c>
      <c r="U25" s="71">
        <v>37</v>
      </c>
      <c r="V25" s="71">
        <f>282+81</f>
        <v>363</v>
      </c>
    </row>
    <row r="26" spans="1:38" ht="14.4">
      <c r="A26" s="10"/>
      <c r="B26" s="13"/>
      <c r="C26" s="34"/>
      <c r="D26" s="27" t="s">
        <v>11</v>
      </c>
      <c r="E26" s="33"/>
      <c r="F26" s="69">
        <v>0</v>
      </c>
      <c r="G26" s="69">
        <v>644</v>
      </c>
      <c r="H26" s="69">
        <v>0</v>
      </c>
      <c r="I26" s="69">
        <v>1352</v>
      </c>
      <c r="J26" s="65">
        <f t="shared" si="0"/>
        <v>-1</v>
      </c>
      <c r="K26" s="65" t="str">
        <f t="shared" si="21"/>
        <v>n/a</v>
      </c>
      <c r="L26" s="61">
        <f t="shared" si="12"/>
        <v>-1</v>
      </c>
      <c r="M26" s="69">
        <v>0</v>
      </c>
      <c r="N26" s="69">
        <v>644</v>
      </c>
      <c r="O26" s="69">
        <v>0</v>
      </c>
      <c r="P26" s="69">
        <v>1352</v>
      </c>
      <c r="Q26" s="65">
        <f t="shared" si="22"/>
        <v>-1</v>
      </c>
      <c r="R26" s="65" t="str">
        <f t="shared" si="23"/>
        <v>n/a</v>
      </c>
      <c r="S26" s="61">
        <f t="shared" si="24"/>
        <v>-1</v>
      </c>
      <c r="T26" s="69">
        <v>165083</v>
      </c>
      <c r="U26" s="71">
        <f>20768+8294</f>
        <v>29062</v>
      </c>
      <c r="V26" s="71">
        <f>659951+168729+38484</f>
        <v>867164</v>
      </c>
    </row>
    <row r="27" spans="1:38" thickBot="1">
      <c r="A27" s="10"/>
      <c r="B27" s="13"/>
      <c r="C27" s="36" t="s">
        <v>12</v>
      </c>
      <c r="D27" s="37"/>
      <c r="E27" s="38"/>
      <c r="F27" s="47">
        <f t="shared" ref="F27" si="25">F10+F13+F16+F19+F22+F25</f>
        <v>186</v>
      </c>
      <c r="G27" s="47">
        <f t="shared" ref="G27:I28" si="26">G10+G13+G16+G19+G22+G25</f>
        <v>2</v>
      </c>
      <c r="H27" s="47">
        <f t="shared" si="26"/>
        <v>212</v>
      </c>
      <c r="I27" s="47">
        <f t="shared" si="26"/>
        <v>218</v>
      </c>
      <c r="J27" s="67">
        <f t="shared" si="0"/>
        <v>92</v>
      </c>
      <c r="K27" s="67">
        <f t="shared" si="21"/>
        <v>-0.12264150943396224</v>
      </c>
      <c r="L27" s="63">
        <f t="shared" si="12"/>
        <v>-0.14678899082568808</v>
      </c>
      <c r="M27" s="47">
        <f t="shared" ref="M27:P28" si="27">M10+M13+M16+M19+M22+M25</f>
        <v>186</v>
      </c>
      <c r="N27" s="47">
        <f t="shared" si="27"/>
        <v>2</v>
      </c>
      <c r="O27" s="47">
        <f t="shared" si="27"/>
        <v>212</v>
      </c>
      <c r="P27" s="47">
        <f t="shared" si="27"/>
        <v>218</v>
      </c>
      <c r="Q27" s="67">
        <f t="shared" si="22"/>
        <v>92</v>
      </c>
      <c r="R27" s="67">
        <f t="shared" si="23"/>
        <v>-0.12264150943396224</v>
      </c>
      <c r="S27" s="63">
        <f t="shared" si="24"/>
        <v>-0.14678899082568808</v>
      </c>
      <c r="T27" s="47">
        <f t="shared" ref="T27:V28" si="28">T10+T13+T16+T19+T22+T25</f>
        <v>1059</v>
      </c>
      <c r="U27" s="47">
        <f t="shared" si="28"/>
        <v>667</v>
      </c>
      <c r="V27" s="47">
        <f t="shared" si="28"/>
        <v>3344</v>
      </c>
    </row>
    <row r="28" spans="1:38" s="23" customFormat="1" ht="15.6" thickTop="1" thickBot="1">
      <c r="A28" s="10"/>
      <c r="B28" s="13"/>
      <c r="C28" s="39" t="s">
        <v>13</v>
      </c>
      <c r="D28" s="40"/>
      <c r="E28" s="41"/>
      <c r="F28" s="48">
        <f t="shared" ref="F28" si="29">F11+F14+F17+F20+F23+F26</f>
        <v>219956</v>
      </c>
      <c r="G28" s="48">
        <f t="shared" si="26"/>
        <v>1288</v>
      </c>
      <c r="H28" s="48">
        <f t="shared" si="26"/>
        <v>555038</v>
      </c>
      <c r="I28" s="48">
        <f t="shared" si="26"/>
        <v>620852</v>
      </c>
      <c r="J28" s="68">
        <f t="shared" si="0"/>
        <v>169.77329192546583</v>
      </c>
      <c r="K28" s="68">
        <f t="shared" si="21"/>
        <v>-0.60371001625113951</v>
      </c>
      <c r="L28" s="64">
        <f t="shared" si="12"/>
        <v>-0.64571910857982262</v>
      </c>
      <c r="M28" s="48">
        <f t="shared" si="27"/>
        <v>219956</v>
      </c>
      <c r="N28" s="48">
        <f t="shared" si="27"/>
        <v>1288</v>
      </c>
      <c r="O28" s="48">
        <f t="shared" si="27"/>
        <v>555038</v>
      </c>
      <c r="P28" s="48">
        <f t="shared" si="27"/>
        <v>620852</v>
      </c>
      <c r="Q28" s="68">
        <f t="shared" si="22"/>
        <v>169.77329192546583</v>
      </c>
      <c r="R28" s="68">
        <f t="shared" si="23"/>
        <v>-0.60371001625113951</v>
      </c>
      <c r="S28" s="64">
        <f t="shared" si="24"/>
        <v>-0.64571910857982262</v>
      </c>
      <c r="T28" s="48">
        <f t="shared" si="28"/>
        <v>1554247</v>
      </c>
      <c r="U28" s="48">
        <f t="shared" si="28"/>
        <v>1323431</v>
      </c>
      <c r="V28" s="48">
        <f t="shared" si="28"/>
        <v>9169021</v>
      </c>
      <c r="W28" s="10"/>
      <c r="X28" s="22"/>
      <c r="Y28" s="22"/>
      <c r="Z28" s="22"/>
      <c r="AA28" s="22"/>
      <c r="AB28" s="22"/>
      <c r="AC28" s="22"/>
      <c r="AD28" s="22"/>
      <c r="AE28" s="22"/>
      <c r="AF28" s="22"/>
      <c r="AG28" s="22"/>
      <c r="AH28" s="22"/>
      <c r="AI28" s="22"/>
      <c r="AJ28" s="22"/>
      <c r="AK28" s="22"/>
      <c r="AL28" s="22"/>
    </row>
    <row r="29" spans="1:38" thickTop="1">
      <c r="A29" s="10"/>
      <c r="B29" s="10"/>
      <c r="C29" s="10"/>
      <c r="D29" s="10"/>
      <c r="E29" s="10"/>
      <c r="F29" s="10"/>
      <c r="G29" s="42"/>
      <c r="H29" s="42"/>
      <c r="I29" s="42"/>
      <c r="J29" s="42"/>
      <c r="K29" s="10"/>
      <c r="L29" s="10"/>
      <c r="M29" s="10"/>
      <c r="N29" s="10"/>
      <c r="O29" s="10"/>
      <c r="P29" s="10"/>
      <c r="Q29" s="10"/>
      <c r="R29" s="10"/>
      <c r="S29" s="10"/>
      <c r="T29" s="10"/>
      <c r="U29" s="10"/>
      <c r="V29" s="10"/>
    </row>
    <row r="30" spans="1:38" ht="14.4" hidden="1">
      <c r="A30" s="10"/>
      <c r="B30" s="10"/>
      <c r="C30" s="10"/>
      <c r="D30" s="10"/>
      <c r="E30" s="10"/>
      <c r="F30" s="10"/>
      <c r="G30" s="42"/>
      <c r="H30" s="42"/>
      <c r="I30" s="42"/>
      <c r="J30" s="42"/>
      <c r="K30" s="10"/>
      <c r="L30" s="10"/>
      <c r="M30" s="10"/>
      <c r="N30" s="10"/>
      <c r="O30" s="10"/>
      <c r="P30" s="10"/>
      <c r="Q30" s="10"/>
      <c r="R30" s="10"/>
      <c r="S30" s="10"/>
      <c r="T30" s="10"/>
      <c r="U30" s="10"/>
      <c r="V30" s="10"/>
    </row>
    <row r="31" spans="1:38" ht="14.4" hidden="1">
      <c r="A31" s="10"/>
      <c r="B31" s="10"/>
      <c r="C31" s="10"/>
      <c r="D31" s="10"/>
      <c r="E31" s="10"/>
      <c r="F31" s="10"/>
      <c r="G31" s="42"/>
      <c r="H31" s="42"/>
      <c r="I31" s="42"/>
      <c r="J31" s="42"/>
      <c r="K31" s="10"/>
      <c r="L31" s="10"/>
      <c r="M31" s="10"/>
      <c r="N31" s="10"/>
      <c r="O31" s="10"/>
      <c r="P31" s="10"/>
      <c r="Q31" s="10"/>
      <c r="R31" s="10"/>
      <c r="S31" s="10"/>
      <c r="T31" s="10"/>
      <c r="U31" s="10"/>
      <c r="V31" s="10"/>
    </row>
    <row r="32" spans="1:38" ht="14.4"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4.4" hidden="1">
      <c r="G33" s="42"/>
      <c r="H33" s="42"/>
      <c r="I33" s="42"/>
      <c r="J33" s="42"/>
    </row>
    <row r="34" spans="7:10" s="10" customFormat="1" ht="14.4" hidden="1">
      <c r="G34" s="42"/>
      <c r="H34" s="42"/>
      <c r="I34" s="42"/>
      <c r="J34" s="42"/>
    </row>
    <row r="35" spans="7:10" s="10" customFormat="1" ht="14.4" hidden="1">
      <c r="G35" s="42"/>
      <c r="H35" s="42"/>
      <c r="I35" s="42"/>
      <c r="J35" s="42"/>
    </row>
    <row r="36" spans="7:10" s="10" customFormat="1" ht="14.4" hidden="1">
      <c r="G36" s="42"/>
      <c r="H36" s="42"/>
      <c r="I36" s="42"/>
      <c r="J36" s="42"/>
    </row>
    <row r="37" spans="7:10" s="10" customFormat="1" ht="14.4" hidden="1">
      <c r="G37" s="42"/>
      <c r="H37" s="42"/>
      <c r="I37" s="42"/>
      <c r="J37" s="42"/>
    </row>
    <row r="38" spans="7:10" s="10" customFormat="1" ht="14.4" hidden="1">
      <c r="G38" s="42"/>
      <c r="H38" s="42"/>
      <c r="I38" s="42"/>
      <c r="J38" s="42"/>
    </row>
    <row r="39" spans="7:10" s="10" customFormat="1" ht="14.4" hidden="1">
      <c r="G39" s="42"/>
      <c r="H39" s="42"/>
      <c r="I39" s="42"/>
      <c r="J39" s="42"/>
    </row>
    <row r="40" spans="7:10" s="10" customFormat="1" ht="14.4" hidden="1">
      <c r="G40" s="42"/>
      <c r="H40" s="42"/>
      <c r="I40" s="42"/>
      <c r="J40" s="42"/>
    </row>
    <row r="41" spans="7:10" s="10" customFormat="1" ht="14.4" hidden="1">
      <c r="G41" s="42"/>
      <c r="H41" s="42"/>
      <c r="I41" s="42"/>
      <c r="J41" s="42"/>
    </row>
    <row r="42" spans="7:10" s="10" customFormat="1" ht="14.4" hidden="1">
      <c r="G42" s="42"/>
      <c r="H42" s="42"/>
      <c r="I42" s="42"/>
      <c r="J42" s="42"/>
    </row>
    <row r="43" spans="7:10" s="10" customFormat="1" ht="14.4" hidden="1">
      <c r="G43" s="42"/>
      <c r="H43" s="42"/>
      <c r="I43" s="42"/>
      <c r="J43" s="42"/>
    </row>
    <row r="44" spans="7:10" s="10" customFormat="1" ht="14.4" hidden="1">
      <c r="G44" s="42"/>
      <c r="H44" s="42"/>
      <c r="I44" s="42"/>
      <c r="J44" s="42"/>
    </row>
    <row r="45" spans="7:10" s="10" customFormat="1" ht="14.4" hidden="1">
      <c r="G45" s="42"/>
      <c r="H45" s="42"/>
      <c r="I45" s="42"/>
      <c r="J45" s="42"/>
    </row>
    <row r="46" spans="7:10" s="10" customFormat="1" ht="14.4" hidden="1">
      <c r="G46" s="42"/>
      <c r="H46" s="42"/>
      <c r="I46" s="42"/>
      <c r="J46" s="42"/>
    </row>
    <row r="47" spans="7:10" s="10" customFormat="1" ht="14.4" hidden="1">
      <c r="G47" s="42"/>
      <c r="H47" s="42"/>
      <c r="I47" s="42"/>
      <c r="J47" s="42"/>
    </row>
    <row r="48" spans="7:10" s="10" customFormat="1" ht="14.4"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G48"/>
  <sheetViews>
    <sheetView showGridLines="0" zoomScale="79" zoomScaleNormal="79" workbookViewId="0">
      <selection activeCell="H26" sqref="H26"/>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30</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04" t="s">
        <v>31</v>
      </c>
      <c r="G6" s="106"/>
      <c r="H6" s="106"/>
      <c r="I6" s="107"/>
      <c r="J6" s="108"/>
      <c r="K6" s="104" t="s">
        <v>32</v>
      </c>
      <c r="L6" s="106"/>
      <c r="M6" s="106"/>
      <c r="N6" s="107"/>
      <c r="O6" s="108"/>
      <c r="P6" s="102" t="s">
        <v>9</v>
      </c>
      <c r="Q6" s="106"/>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70</v>
      </c>
      <c r="G10" s="69">
        <f>L10-'Nov-21'!L10</f>
        <v>0</v>
      </c>
      <c r="H10" s="69">
        <f>M10-'Nov-21'!M10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ht="14.4">
      <c r="A11" s="10"/>
      <c r="B11" s="13"/>
      <c r="C11" s="34"/>
      <c r="D11" s="27" t="s">
        <v>11</v>
      </c>
      <c r="E11" s="33"/>
      <c r="F11" s="69">
        <v>52767</v>
      </c>
      <c r="G11" s="69">
        <f>L11-'Nov-21'!L11</f>
        <v>0</v>
      </c>
      <c r="H11" s="69">
        <f>M11-'Nov-21'!M11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ht="14.4">
      <c r="A12" s="10"/>
      <c r="B12" s="13"/>
      <c r="C12" s="32" t="s">
        <v>74</v>
      </c>
      <c r="D12" s="27"/>
      <c r="E12" s="33"/>
      <c r="F12" s="46"/>
      <c r="G12" s="46"/>
      <c r="H12" s="46"/>
      <c r="I12" s="65"/>
      <c r="J12" s="62"/>
      <c r="K12" s="44"/>
      <c r="L12" s="44"/>
      <c r="M12" s="44"/>
      <c r="N12" s="66"/>
      <c r="O12" s="62"/>
      <c r="P12" s="45"/>
      <c r="Q12" s="45"/>
    </row>
    <row r="13" spans="1:33" ht="14.4">
      <c r="A13" s="10"/>
      <c r="B13" s="13"/>
      <c r="C13" s="34"/>
      <c r="D13" s="27" t="s">
        <v>5</v>
      </c>
      <c r="E13" s="33"/>
      <c r="F13" s="69">
        <v>25</v>
      </c>
      <c r="G13" s="69">
        <f>L13-'Nov-21'!L13</f>
        <v>0</v>
      </c>
      <c r="H13" s="69">
        <f>M13-'Nov-21'!M13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ht="14.4">
      <c r="A14" s="10"/>
      <c r="B14" s="13"/>
      <c r="C14" s="34"/>
      <c r="D14" s="27" t="s">
        <v>11</v>
      </c>
      <c r="E14" s="33"/>
      <c r="F14" s="69">
        <v>39214</v>
      </c>
      <c r="G14" s="69">
        <f>L14-'Nov-21'!L14</f>
        <v>0</v>
      </c>
      <c r="H14" s="69">
        <f>M14-'Nov-21'!M14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3</v>
      </c>
      <c r="G16" s="69">
        <f>L16-'Nov-21'!L16</f>
        <v>0</v>
      </c>
      <c r="H16" s="69">
        <f>M16-'Nov-21'!M16</f>
        <v>9</v>
      </c>
      <c r="I16" s="65" t="str">
        <f t="shared" si="0"/>
        <v>n/a</v>
      </c>
      <c r="J16" s="61">
        <f>F16/H16-1</f>
        <v>-0.66666666666666674</v>
      </c>
      <c r="K16" s="69">
        <v>23</v>
      </c>
      <c r="L16" s="69">
        <v>4</v>
      </c>
      <c r="M16" s="69">
        <v>191</v>
      </c>
      <c r="N16" s="65">
        <f>K16/L16-1</f>
        <v>4.75</v>
      </c>
      <c r="O16" s="61">
        <f>K16/M16-1</f>
        <v>-0.87958115183246077</v>
      </c>
      <c r="P16" s="71">
        <v>4</v>
      </c>
      <c r="Q16" s="71">
        <v>191</v>
      </c>
    </row>
    <row r="17" spans="1:33" ht="14.4">
      <c r="A17" s="10"/>
      <c r="B17" s="13"/>
      <c r="C17" s="34"/>
      <c r="D17" s="27" t="s">
        <v>11</v>
      </c>
      <c r="E17" s="33"/>
      <c r="F17" s="69">
        <v>864</v>
      </c>
      <c r="G17" s="69">
        <f>L17-'Nov-21'!L17</f>
        <v>0</v>
      </c>
      <c r="H17" s="69">
        <f>M17-'Nov-21'!M17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102</v>
      </c>
      <c r="G19" s="69">
        <f>L19-'Nov-21'!L19</f>
        <v>0</v>
      </c>
      <c r="H19" s="69">
        <f>M19-'Nov-21'!M19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ht="14.4">
      <c r="A20" s="10"/>
      <c r="B20" s="13"/>
      <c r="C20" s="34"/>
      <c r="D20" s="27" t="s">
        <v>11</v>
      </c>
      <c r="E20" s="33"/>
      <c r="F20" s="69">
        <v>200450</v>
      </c>
      <c r="G20" s="69">
        <f>L20-'Nov-21'!L20</f>
        <v>0</v>
      </c>
      <c r="H20" s="69">
        <f>M20-'Nov-21'!M20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7</v>
      </c>
      <c r="G22" s="69">
        <f>L22-'Nov-21'!L22</f>
        <v>3</v>
      </c>
      <c r="H22" s="69">
        <f>M22-'Nov-21'!M22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ht="14.4">
      <c r="A23" s="10"/>
      <c r="B23" s="13"/>
      <c r="C23" s="34"/>
      <c r="D23" s="27" t="s">
        <v>11</v>
      </c>
      <c r="E23" s="33"/>
      <c r="F23" s="69">
        <v>13748</v>
      </c>
      <c r="G23" s="69">
        <f>L23-'Nov-21'!L23</f>
        <v>1045</v>
      </c>
      <c r="H23" s="69">
        <f>M23-'Nov-21'!M23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0</v>
      </c>
      <c r="G25" s="69">
        <f>L25-'Nov-21'!L25</f>
        <v>5</v>
      </c>
      <c r="H25" s="69">
        <f>M25-'Nov-21'!M25</f>
        <v>20</v>
      </c>
      <c r="I25" s="65">
        <f t="shared" si="0"/>
        <v>-1</v>
      </c>
      <c r="J25" s="61">
        <f>F25/H25-1</f>
        <v>-1</v>
      </c>
      <c r="K25" s="69">
        <v>124</v>
      </c>
      <c r="L25" s="69">
        <v>37</v>
      </c>
      <c r="M25" s="69">
        <f>282+81</f>
        <v>363</v>
      </c>
      <c r="N25" s="65">
        <f>K25/L25-1</f>
        <v>2.3513513513513513</v>
      </c>
      <c r="O25" s="61">
        <f>K25/M25-1</f>
        <v>-0.6584022038567493</v>
      </c>
      <c r="P25" s="71">
        <v>37</v>
      </c>
      <c r="Q25" s="71">
        <f>282+81</f>
        <v>363</v>
      </c>
    </row>
    <row r="26" spans="1:33" ht="14.4">
      <c r="A26" s="10"/>
      <c r="B26" s="13"/>
      <c r="C26" s="34"/>
      <c r="D26" s="27" t="s">
        <v>11</v>
      </c>
      <c r="E26" s="33"/>
      <c r="F26" s="69">
        <v>0</v>
      </c>
      <c r="G26" s="69">
        <f>L26-'Nov-21'!L26</f>
        <v>1063</v>
      </c>
      <c r="H26" s="69">
        <f>M26-'Nov-21'!M26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thickBot="1">
      <c r="A27" s="10"/>
      <c r="B27" s="13"/>
      <c r="C27" s="36" t="s">
        <v>12</v>
      </c>
      <c r="D27" s="37"/>
      <c r="E27" s="38"/>
      <c r="F27" s="47">
        <f t="shared" ref="F27:H28" si="1">F10+F13+F16+F19+F22+F25</f>
        <v>207</v>
      </c>
      <c r="G27" s="47">
        <f t="shared" si="1"/>
        <v>8</v>
      </c>
      <c r="H27" s="47">
        <f t="shared" si="1"/>
        <v>293</v>
      </c>
      <c r="I27" s="67">
        <f>F27/G27-1</f>
        <v>24.875</v>
      </c>
      <c r="J27" s="63">
        <f>F27/H27-1</f>
        <v>-0.29351535836177478</v>
      </c>
      <c r="K27" s="47">
        <f t="shared" ref="K27:L27" si="2">K10+K13+K16+K19+K22+K25</f>
        <v>1059</v>
      </c>
      <c r="L27" s="47">
        <f t="shared" si="2"/>
        <v>667</v>
      </c>
      <c r="M27" s="47">
        <f>M10+M13+M16+M19+M22+M25</f>
        <v>3344</v>
      </c>
      <c r="N27" s="67">
        <f>K27/L27-1</f>
        <v>0.58770614692653678</v>
      </c>
      <c r="O27" s="63">
        <f>K27/M27-1</f>
        <v>-0.68331339712918659</v>
      </c>
      <c r="P27" s="47">
        <f>P10+P13+P16+P19+P22+P25</f>
        <v>667</v>
      </c>
      <c r="Q27" s="47">
        <f>Q10+Q13+Q16+Q19+Q22+Q25</f>
        <v>3344</v>
      </c>
    </row>
    <row r="28" spans="1:33" s="23" customFormat="1" ht="15.6" thickTop="1" thickBot="1">
      <c r="A28" s="10"/>
      <c r="B28" s="13"/>
      <c r="C28" s="39" t="s">
        <v>13</v>
      </c>
      <c r="D28" s="40"/>
      <c r="E28" s="41"/>
      <c r="F28" s="48">
        <f t="shared" si="1"/>
        <v>307043</v>
      </c>
      <c r="G28" s="48">
        <f t="shared" si="1"/>
        <v>2108</v>
      </c>
      <c r="H28" s="48">
        <f t="shared" si="1"/>
        <v>652325</v>
      </c>
      <c r="I28" s="68">
        <f>F28/G28-1</f>
        <v>144.65607210626186</v>
      </c>
      <c r="J28" s="64">
        <f>F28/H28-1</f>
        <v>-0.52930977656842826</v>
      </c>
      <c r="K28" s="48">
        <f t="shared" ref="K28:L28" si="3">K11+K14+K17+K20+K23+K26</f>
        <v>1554247</v>
      </c>
      <c r="L28" s="48">
        <f t="shared" si="3"/>
        <v>1323431</v>
      </c>
      <c r="M28" s="48">
        <f>M11+M14+M17+M20+M23+M26</f>
        <v>9169021</v>
      </c>
      <c r="N28" s="68">
        <f>K28/L28-1</f>
        <v>0.17440727926125343</v>
      </c>
      <c r="O28" s="64">
        <f>K28/M28-1</f>
        <v>-0.83048931832526063</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6:8" s="10" customFormat="1" ht="14.4" hidden="1">
      <c r="F33" s="42"/>
      <c r="G33" s="42"/>
      <c r="H33" s="42"/>
    </row>
    <row r="34" spans="6:8" s="10" customFormat="1" ht="14.4" hidden="1">
      <c r="F34" s="42"/>
      <c r="G34" s="42"/>
      <c r="H34" s="42"/>
    </row>
    <row r="35" spans="6:8" s="10" customFormat="1" ht="14.4" hidden="1">
      <c r="F35" s="42"/>
      <c r="G35" s="42"/>
      <c r="H35" s="42"/>
    </row>
    <row r="36" spans="6:8" s="10" customFormat="1" ht="14.4" hidden="1">
      <c r="F36" s="42"/>
      <c r="G36" s="42"/>
      <c r="H36" s="42"/>
    </row>
    <row r="37" spans="6:8" s="10" customFormat="1" ht="14.4" hidden="1">
      <c r="F37" s="42"/>
      <c r="G37" s="42"/>
      <c r="H37" s="42"/>
    </row>
    <row r="38" spans="6:8" s="10" customFormat="1" ht="14.4" hidden="1">
      <c r="F38" s="42"/>
      <c r="G38" s="42"/>
      <c r="H38" s="42"/>
    </row>
    <row r="39" spans="6:8" s="10" customFormat="1" ht="14.4" hidden="1">
      <c r="F39" s="42"/>
      <c r="G39" s="42"/>
      <c r="H39" s="42"/>
    </row>
    <row r="40" spans="6:8" s="10" customFormat="1" ht="14.4" hidden="1">
      <c r="F40" s="42"/>
      <c r="G40" s="42"/>
      <c r="H40" s="42"/>
    </row>
    <row r="41" spans="6:8" s="10" customFormat="1" ht="14.4" hidden="1">
      <c r="F41" s="42"/>
      <c r="G41" s="42"/>
      <c r="H41" s="42"/>
    </row>
    <row r="42" spans="6:8" s="10" customFormat="1" ht="14.4" hidden="1">
      <c r="F42" s="42"/>
      <c r="G42" s="42"/>
      <c r="H42" s="42"/>
    </row>
    <row r="43" spans="6:8" s="10" customFormat="1" ht="14.4" hidden="1">
      <c r="F43" s="42"/>
      <c r="G43" s="42"/>
      <c r="H43" s="42"/>
    </row>
    <row r="44" spans="6:8" s="10" customFormat="1" ht="14.4" hidden="1">
      <c r="F44" s="42"/>
      <c r="G44" s="42"/>
      <c r="H44" s="42"/>
    </row>
    <row r="45" spans="6:8" s="10" customFormat="1" ht="14.4" hidden="1">
      <c r="F45" s="42"/>
      <c r="G45" s="42"/>
      <c r="H45" s="42"/>
    </row>
    <row r="46" spans="6:8" s="10" customFormat="1" ht="14.4" hidden="1">
      <c r="F46" s="42"/>
      <c r="G46" s="42"/>
      <c r="H46" s="42"/>
    </row>
    <row r="47" spans="6:8" s="10" customFormat="1" ht="14.4" hidden="1">
      <c r="F47" s="42"/>
      <c r="G47" s="42"/>
      <c r="H47" s="42"/>
    </row>
    <row r="48" spans="6:8" s="10" customFormat="1" ht="14.4"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G48"/>
  <sheetViews>
    <sheetView showGridLines="0" zoomScale="79" zoomScaleNormal="100" workbookViewId="0">
      <selection activeCell="F10" sqref="F10:H26"/>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26</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04" t="s">
        <v>27</v>
      </c>
      <c r="G6" s="106"/>
      <c r="H6" s="106"/>
      <c r="I6" s="107"/>
      <c r="J6" s="108"/>
      <c r="K6" s="104" t="s">
        <v>28</v>
      </c>
      <c r="L6" s="106"/>
      <c r="M6" s="106"/>
      <c r="N6" s="107"/>
      <c r="O6" s="108"/>
      <c r="P6" s="102" t="s">
        <v>9</v>
      </c>
      <c r="Q6" s="106"/>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ht="14.4">
      <c r="A11" s="10"/>
      <c r="B11" s="13"/>
      <c r="C11" s="34"/>
      <c r="D11" s="27" t="s">
        <v>11</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ht="14.4">
      <c r="A12" s="10"/>
      <c r="B12" s="13"/>
      <c r="C12" s="32" t="s">
        <v>74</v>
      </c>
      <c r="D12" s="27"/>
      <c r="E12" s="33"/>
      <c r="F12" s="46"/>
      <c r="G12" s="46"/>
      <c r="H12" s="46"/>
      <c r="I12" s="65"/>
      <c r="J12" s="62"/>
      <c r="K12" s="44"/>
      <c r="L12" s="44"/>
      <c r="M12" s="44"/>
      <c r="N12" s="66"/>
      <c r="O12" s="62"/>
      <c r="P12" s="45"/>
      <c r="Q12" s="45"/>
    </row>
    <row r="13" spans="1:33" ht="14.4">
      <c r="A13" s="10"/>
      <c r="B13" s="13"/>
      <c r="C13" s="34"/>
      <c r="D13" s="27" t="s">
        <v>5</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ht="14.4">
      <c r="A14" s="10"/>
      <c r="B14" s="13"/>
      <c r="C14" s="34"/>
      <c r="D14" s="27" t="s">
        <v>11</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ht="14.4">
      <c r="A17" s="10"/>
      <c r="B17" s="13"/>
      <c r="C17" s="34"/>
      <c r="D17" s="27" t="s">
        <v>11</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ht="14.4">
      <c r="A20" s="10"/>
      <c r="B20" s="13"/>
      <c r="C20" s="34"/>
      <c r="D20" s="27" t="s">
        <v>11</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ht="14.4">
      <c r="A23" s="10"/>
      <c r="B23" s="13"/>
      <c r="C23" s="34"/>
      <c r="D23" s="27" t="s">
        <v>11</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20</v>
      </c>
      <c r="G25" s="69">
        <v>8</v>
      </c>
      <c r="H25" s="69">
        <v>17</v>
      </c>
      <c r="I25" s="65">
        <f t="shared" si="0"/>
        <v>1.5</v>
      </c>
      <c r="J25" s="61">
        <f>F25/H25-1</f>
        <v>0.17647058823529416</v>
      </c>
      <c r="K25" s="69">
        <v>124</v>
      </c>
      <c r="L25" s="69">
        <v>32</v>
      </c>
      <c r="M25" s="69">
        <v>343</v>
      </c>
      <c r="N25" s="65">
        <f>K25/L25-1</f>
        <v>2.875</v>
      </c>
      <c r="O25" s="61">
        <f>K25/M25-1</f>
        <v>-0.63848396501457727</v>
      </c>
      <c r="P25" s="71">
        <v>37</v>
      </c>
      <c r="Q25" s="71">
        <v>363</v>
      </c>
    </row>
    <row r="26" spans="1:33" ht="14.4">
      <c r="A26" s="10"/>
      <c r="B26" s="13"/>
      <c r="C26" s="34"/>
      <c r="D26" s="27" t="s">
        <v>11</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thickBot="1">
      <c r="A27" s="10"/>
      <c r="B27" s="13"/>
      <c r="C27" s="36" t="s">
        <v>12</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852</v>
      </c>
      <c r="L27" s="47">
        <f t="shared" si="2"/>
        <v>659</v>
      </c>
      <c r="M27" s="47">
        <f t="shared" si="2"/>
        <v>3051</v>
      </c>
      <c r="N27" s="67">
        <f>K27/L27-1</f>
        <v>0.2928679817905917</v>
      </c>
      <c r="O27" s="63">
        <f>K27/M27-1</f>
        <v>-0.72074729596853493</v>
      </c>
      <c r="P27" s="47">
        <f>P10+P13+P16+P19+P22+P25</f>
        <v>667</v>
      </c>
      <c r="Q27" s="47">
        <f>Q10+Q13+Q16+Q19+Q22+Q25</f>
        <v>3344</v>
      </c>
    </row>
    <row r="28" spans="1:33" s="23" customFormat="1" ht="15.6" thickTop="1" thickBot="1">
      <c r="A28" s="10"/>
      <c r="B28" s="13"/>
      <c r="C28" s="39" t="s">
        <v>13</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G48"/>
  <sheetViews>
    <sheetView showGridLines="0" zoomScale="79" zoomScaleNormal="79" workbookViewId="0">
      <selection activeCell="K8" sqref="K8:M8"/>
    </sheetView>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25</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04" t="s">
        <v>24</v>
      </c>
      <c r="G6" s="106"/>
      <c r="H6" s="106"/>
      <c r="I6" s="107"/>
      <c r="J6" s="108"/>
      <c r="K6" s="104" t="s">
        <v>8</v>
      </c>
      <c r="L6" s="106"/>
      <c r="M6" s="106"/>
      <c r="N6" s="107"/>
      <c r="O6" s="108"/>
      <c r="P6" s="102" t="s">
        <v>9</v>
      </c>
      <c r="Q6" s="106"/>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ht="14.4">
      <c r="A11" s="10"/>
      <c r="B11" s="13"/>
      <c r="C11" s="34"/>
      <c r="D11" s="27" t="s">
        <v>11</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ht="14.4">
      <c r="A12" s="10"/>
      <c r="B12" s="13"/>
      <c r="C12" s="32" t="s">
        <v>20</v>
      </c>
      <c r="D12" s="27"/>
      <c r="E12" s="33"/>
      <c r="F12" s="46"/>
      <c r="G12" s="46"/>
      <c r="H12" s="46"/>
      <c r="I12" s="65"/>
      <c r="J12" s="62"/>
      <c r="K12" s="44"/>
      <c r="L12" s="44"/>
      <c r="M12" s="44"/>
      <c r="N12" s="66"/>
      <c r="O12" s="62"/>
      <c r="P12" s="45"/>
      <c r="Q12" s="45"/>
    </row>
    <row r="13" spans="1:33" ht="14.4">
      <c r="A13" s="10"/>
      <c r="B13" s="13"/>
      <c r="C13" s="34"/>
      <c r="D13" s="27" t="s">
        <v>5</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ht="14.4">
      <c r="A14" s="10"/>
      <c r="B14" s="13"/>
      <c r="C14" s="34"/>
      <c r="D14" s="27" t="s">
        <v>11</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ht="14.4">
      <c r="A17" s="10"/>
      <c r="B17" s="13"/>
      <c r="C17" s="34"/>
      <c r="D17" s="27" t="s">
        <v>11</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ht="14.4">
      <c r="A20" s="10"/>
      <c r="B20" s="13"/>
      <c r="C20" s="34"/>
      <c r="D20" s="27" t="s">
        <v>11</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ht="14.4">
      <c r="A23" s="10"/>
      <c r="B23" s="13"/>
      <c r="C23" s="34"/>
      <c r="D23" s="27" t="s">
        <v>11</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28</v>
      </c>
      <c r="G25" s="69">
        <v>12</v>
      </c>
      <c r="H25" s="69">
        <v>71</v>
      </c>
      <c r="I25" s="65">
        <f t="shared" si="0"/>
        <v>1.3333333333333335</v>
      </c>
      <c r="J25" s="61">
        <f>F25/H25-1</f>
        <v>-0.60563380281690149</v>
      </c>
      <c r="K25" s="69">
        <v>104</v>
      </c>
      <c r="L25" s="69">
        <v>24</v>
      </c>
      <c r="M25" s="69">
        <v>326</v>
      </c>
      <c r="N25" s="65">
        <f>K25/L25-1</f>
        <v>3.333333333333333</v>
      </c>
      <c r="O25" s="61">
        <f>K25/M25-1</f>
        <v>-0.68098159509202461</v>
      </c>
      <c r="P25" s="71">
        <v>37</v>
      </c>
      <c r="Q25" s="71">
        <v>363</v>
      </c>
    </row>
    <row r="26" spans="1:33" ht="14.4">
      <c r="A26" s="10"/>
      <c r="B26" s="13"/>
      <c r="C26" s="34"/>
      <c r="D26" s="27" t="s">
        <v>11</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thickBot="1">
      <c r="A27" s="10"/>
      <c r="B27" s="13"/>
      <c r="C27" s="36" t="s">
        <v>12</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628</v>
      </c>
      <c r="L27" s="47">
        <f t="shared" si="2"/>
        <v>646</v>
      </c>
      <c r="M27" s="47">
        <f t="shared" si="2"/>
        <v>2737</v>
      </c>
      <c r="N27" s="67">
        <f>K27/L27-1</f>
        <v>-2.786377708978327E-2</v>
      </c>
      <c r="O27" s="63">
        <f>K27/M27-1</f>
        <v>-0.77055169894044573</v>
      </c>
      <c r="P27" s="47">
        <f>P10+P13+P16+P19+P22+P25</f>
        <v>667</v>
      </c>
      <c r="Q27" s="47">
        <f>Q10+Q13+Q16+Q19+Q22+Q25</f>
        <v>3344</v>
      </c>
    </row>
    <row r="28" spans="1:33" s="23" customFormat="1" ht="15.6" thickTop="1" thickBot="1">
      <c r="A28" s="10"/>
      <c r="B28" s="13"/>
      <c r="C28" s="39" t="s">
        <v>13</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14999847407452621"/>
    <pageSetUpPr fitToPage="1"/>
  </sheetPr>
  <dimension ref="A1:AH44"/>
  <sheetViews>
    <sheetView showGridLines="0" tabSelected="1"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8"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6.2">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8">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8">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6.2">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8">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G48"/>
  <sheetViews>
    <sheetView zoomScale="79" zoomScaleNormal="79" workbookViewId="0">
      <selection activeCell="K10" sqref="K10:M28"/>
    </sheetView>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10"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row>
    <row r="2" spans="1:33" ht="18.600000000000001" thickBot="1">
      <c r="A2" s="10"/>
      <c r="B2" s="9" t="s">
        <v>6</v>
      </c>
      <c r="C2" s="24"/>
      <c r="D2" s="24"/>
      <c r="E2" s="24"/>
      <c r="F2" s="24"/>
      <c r="G2" s="24"/>
      <c r="H2" s="24"/>
      <c r="I2" s="24"/>
      <c r="J2" s="24"/>
      <c r="K2" s="24"/>
      <c r="L2" s="24"/>
      <c r="M2" s="24"/>
      <c r="N2" s="24"/>
      <c r="O2" s="24"/>
      <c r="P2" s="24"/>
      <c r="Q2" s="24"/>
    </row>
    <row r="3" spans="1:33" ht="14.4">
      <c r="A3" s="10"/>
      <c r="B3" s="11"/>
      <c r="C3" s="25"/>
      <c r="D3" s="25"/>
      <c r="E3" s="25"/>
      <c r="F3" s="25"/>
      <c r="G3" s="25"/>
      <c r="H3" s="25"/>
      <c r="I3" s="25"/>
      <c r="J3" s="25"/>
      <c r="K3" s="25"/>
      <c r="L3" s="25"/>
      <c r="M3" s="25"/>
      <c r="N3" s="25"/>
      <c r="O3" s="25"/>
      <c r="P3" s="25"/>
      <c r="Q3" s="26"/>
    </row>
    <row r="4" spans="1:33" ht="16.2">
      <c r="A4" s="10"/>
      <c r="B4" s="12" t="s">
        <v>7</v>
      </c>
      <c r="C4" s="27"/>
      <c r="D4" s="25"/>
      <c r="E4" s="59" t="s">
        <v>21</v>
      </c>
      <c r="F4" s="25"/>
      <c r="G4" s="25"/>
      <c r="H4" s="25"/>
      <c r="I4" s="25"/>
      <c r="J4" s="25"/>
      <c r="K4" s="25"/>
      <c r="L4" s="25"/>
      <c r="M4" s="25"/>
      <c r="N4" s="25"/>
      <c r="O4" s="25"/>
      <c r="P4" s="25"/>
      <c r="Q4" s="25"/>
    </row>
    <row r="5" spans="1:33" ht="14.4">
      <c r="A5" s="10"/>
      <c r="B5" s="11"/>
      <c r="C5" s="25"/>
      <c r="D5" s="25"/>
      <c r="E5" s="25"/>
      <c r="F5" s="25"/>
      <c r="G5" s="25"/>
      <c r="H5" s="25"/>
      <c r="I5" s="25"/>
      <c r="J5" s="25"/>
      <c r="K5" s="25"/>
      <c r="L5" s="25"/>
      <c r="M5" s="25"/>
      <c r="N5" s="25"/>
      <c r="O5" s="25"/>
      <c r="P5" s="25"/>
      <c r="Q5" s="25"/>
    </row>
    <row r="6" spans="1:33" s="21" customFormat="1" ht="14.4">
      <c r="A6" s="10"/>
      <c r="B6"/>
      <c r="C6" s="28" t="s">
        <v>7</v>
      </c>
      <c r="D6" s="29"/>
      <c r="E6" s="29"/>
      <c r="F6" s="104" t="s">
        <v>22</v>
      </c>
      <c r="G6" s="106"/>
      <c r="H6" s="106"/>
      <c r="I6" s="107"/>
      <c r="J6" s="108"/>
      <c r="K6" s="104" t="s">
        <v>23</v>
      </c>
      <c r="L6" s="106"/>
      <c r="M6" s="106"/>
      <c r="N6" s="107"/>
      <c r="O6" s="108"/>
      <c r="P6" s="102" t="s">
        <v>9</v>
      </c>
      <c r="Q6" s="106"/>
      <c r="R6" s="10"/>
      <c r="S6" s="20"/>
      <c r="T6" s="20"/>
      <c r="U6" s="20"/>
      <c r="V6" s="20"/>
      <c r="W6" s="20"/>
      <c r="X6" s="20"/>
      <c r="Y6" s="20"/>
      <c r="Z6" s="20"/>
      <c r="AA6" s="20"/>
      <c r="AB6" s="20"/>
      <c r="AC6" s="20"/>
      <c r="AD6" s="20"/>
      <c r="AE6" s="20"/>
      <c r="AF6" s="20"/>
      <c r="AG6" s="20"/>
    </row>
    <row r="7" spans="1:33" ht="14.4">
      <c r="A7" s="10"/>
      <c r="B7" s="19"/>
      <c r="C7" s="30"/>
      <c r="D7" s="31"/>
      <c r="E7" s="31"/>
      <c r="F7" s="30"/>
      <c r="G7" s="31"/>
      <c r="H7" s="31"/>
      <c r="I7" s="31"/>
      <c r="J7" s="57"/>
      <c r="K7" s="30"/>
      <c r="L7" s="31"/>
      <c r="M7" s="31"/>
      <c r="N7" s="31"/>
      <c r="O7" s="57"/>
      <c r="P7" s="31"/>
      <c r="Q7" s="31"/>
    </row>
    <row r="8" spans="1:33" s="55" customFormat="1" ht="20.399999999999999">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ht="14.4">
      <c r="A9" s="10"/>
      <c r="B9" s="13"/>
      <c r="C9" s="32" t="s">
        <v>14</v>
      </c>
      <c r="D9" s="27"/>
      <c r="E9" s="33"/>
      <c r="F9" s="27"/>
      <c r="G9" s="27"/>
      <c r="H9" s="27"/>
      <c r="I9" s="27"/>
      <c r="J9" s="33"/>
      <c r="K9" s="27"/>
      <c r="L9" s="27"/>
      <c r="M9" s="27"/>
      <c r="N9" s="27"/>
      <c r="O9" s="33"/>
      <c r="P9" s="27"/>
      <c r="Q9" s="27"/>
    </row>
    <row r="10" spans="1:33" ht="14.4">
      <c r="A10" s="10"/>
      <c r="B10" s="13"/>
      <c r="C10" s="34"/>
      <c r="D10" s="27" t="s">
        <v>5</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ht="14.4">
      <c r="A11" s="10"/>
      <c r="B11" s="13"/>
      <c r="C11" s="34"/>
      <c r="D11" s="27" t="s">
        <v>11</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ht="14.4">
      <c r="A12" s="10"/>
      <c r="B12" s="13"/>
      <c r="C12" s="32" t="s">
        <v>20</v>
      </c>
      <c r="D12" s="27"/>
      <c r="E12" s="33"/>
      <c r="F12" s="46"/>
      <c r="G12" s="46"/>
      <c r="H12" s="46"/>
      <c r="I12" s="65"/>
      <c r="J12" s="62"/>
      <c r="K12" s="44"/>
      <c r="L12" s="44"/>
      <c r="M12" s="44"/>
      <c r="N12" s="66"/>
      <c r="O12" s="62"/>
      <c r="P12" s="45"/>
      <c r="Q12" s="45"/>
    </row>
    <row r="13" spans="1:33" ht="14.4">
      <c r="A13" s="10"/>
      <c r="B13" s="13"/>
      <c r="C13" s="34"/>
      <c r="D13" s="27" t="s">
        <v>5</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ht="14.4">
      <c r="A14" s="10"/>
      <c r="B14" s="13"/>
      <c r="C14" s="34"/>
      <c r="D14" s="27" t="s">
        <v>11</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ht="14.4">
      <c r="A15" s="10"/>
      <c r="B15" s="13"/>
      <c r="C15" s="32" t="s">
        <v>15</v>
      </c>
      <c r="D15" s="27"/>
      <c r="E15" s="33"/>
      <c r="F15" s="44"/>
      <c r="G15" s="44"/>
      <c r="H15" s="44"/>
      <c r="I15" s="65"/>
      <c r="J15" s="61"/>
      <c r="K15" s="44"/>
      <c r="L15" s="44"/>
      <c r="M15" s="44"/>
      <c r="N15" s="65"/>
      <c r="O15" s="61"/>
      <c r="P15" s="45"/>
      <c r="Q15" s="45"/>
    </row>
    <row r="16" spans="1:33" ht="14.4">
      <c r="A16" s="10"/>
      <c r="B16" s="13"/>
      <c r="C16" s="34"/>
      <c r="D16" s="27" t="s">
        <v>5</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ht="14.4">
      <c r="A17" s="10"/>
      <c r="B17" s="13"/>
      <c r="C17" s="34"/>
      <c r="D17" s="27" t="s">
        <v>11</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ht="14.4">
      <c r="A18" s="10"/>
      <c r="B18" s="13"/>
      <c r="C18" s="32" t="s">
        <v>10</v>
      </c>
      <c r="D18" s="27"/>
      <c r="E18" s="35"/>
      <c r="F18" s="44"/>
      <c r="G18" s="44"/>
      <c r="H18" s="44"/>
      <c r="I18" s="65"/>
      <c r="J18" s="61"/>
      <c r="K18" s="44"/>
      <c r="L18" s="44"/>
      <c r="M18" s="44"/>
      <c r="N18" s="65"/>
      <c r="O18" s="61"/>
      <c r="P18" s="45"/>
      <c r="Q18" s="45"/>
    </row>
    <row r="19" spans="1:33" ht="14.4">
      <c r="A19" s="10"/>
      <c r="B19" s="13"/>
      <c r="C19" s="34"/>
      <c r="D19" s="27" t="s">
        <v>5</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ht="14.4">
      <c r="A20" s="10"/>
      <c r="B20" s="13"/>
      <c r="C20" s="34"/>
      <c r="D20" s="27" t="s">
        <v>11</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ht="14.4">
      <c r="A21" s="10"/>
      <c r="B21" s="13"/>
      <c r="C21" s="32" t="s">
        <v>16</v>
      </c>
      <c r="D21" s="27"/>
      <c r="E21" s="33"/>
      <c r="F21" s="44"/>
      <c r="G21" s="44"/>
      <c r="H21" s="44"/>
      <c r="I21" s="65"/>
      <c r="J21" s="61"/>
      <c r="K21" s="44"/>
      <c r="L21" s="44"/>
      <c r="M21" s="44"/>
      <c r="N21" s="65"/>
      <c r="O21" s="61"/>
      <c r="P21" s="45"/>
      <c r="Q21" s="45"/>
    </row>
    <row r="22" spans="1:33" ht="14.4">
      <c r="A22" s="10"/>
      <c r="B22" s="13"/>
      <c r="C22" s="34"/>
      <c r="D22" s="27" t="s">
        <v>5</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ht="14.4">
      <c r="A23" s="10"/>
      <c r="B23" s="13"/>
      <c r="C23" s="34"/>
      <c r="D23" s="27" t="s">
        <v>11</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ht="14.4">
      <c r="A24" s="10"/>
      <c r="B24" s="13"/>
      <c r="C24" s="32" t="s">
        <v>17</v>
      </c>
      <c r="D24" s="27"/>
      <c r="E24" s="33"/>
      <c r="F24" s="44"/>
      <c r="G24" s="44"/>
      <c r="H24" s="44"/>
      <c r="I24" s="65"/>
      <c r="J24" s="61"/>
      <c r="K24" s="44"/>
      <c r="L24" s="44"/>
      <c r="M24" s="44"/>
      <c r="N24" s="65"/>
      <c r="O24" s="61"/>
      <c r="P24" s="45"/>
      <c r="Q24" s="45"/>
    </row>
    <row r="25" spans="1:33" ht="14.4">
      <c r="B25" s="13"/>
      <c r="C25" s="34"/>
      <c r="D25" s="27" t="s">
        <v>5</v>
      </c>
      <c r="E25" s="33"/>
      <c r="F25" s="69">
        <v>23</v>
      </c>
      <c r="G25" s="69">
        <v>7</v>
      </c>
      <c r="H25" s="69">
        <v>41</v>
      </c>
      <c r="I25" s="65">
        <f t="shared" si="0"/>
        <v>2.2857142857142856</v>
      </c>
      <c r="J25" s="61">
        <f>F25/H25-1</f>
        <v>-0.43902439024390238</v>
      </c>
      <c r="K25" s="69">
        <v>76</v>
      </c>
      <c r="L25" s="69">
        <v>12</v>
      </c>
      <c r="M25" s="69">
        <v>255</v>
      </c>
      <c r="N25" s="65">
        <f>K25/L25-1</f>
        <v>5.333333333333333</v>
      </c>
      <c r="O25" s="61">
        <f>K25/M25-1</f>
        <v>-0.70196078431372544</v>
      </c>
      <c r="P25" s="71">
        <v>37</v>
      </c>
      <c r="Q25" s="71">
        <v>363</v>
      </c>
    </row>
    <row r="26" spans="1:33" ht="14.4">
      <c r="A26" s="10"/>
      <c r="B26" s="13"/>
      <c r="C26" s="34"/>
      <c r="D26" s="27" t="s">
        <v>11</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thickBot="1">
      <c r="A27" s="10"/>
      <c r="B27" s="13"/>
      <c r="C27" s="36" t="s">
        <v>12</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379</v>
      </c>
      <c r="L27" s="47">
        <f t="shared" si="2"/>
        <v>626</v>
      </c>
      <c r="M27" s="47">
        <f t="shared" si="2"/>
        <v>2344</v>
      </c>
      <c r="N27" s="67">
        <f>K27/L27-1</f>
        <v>-0.39456869009584661</v>
      </c>
      <c r="O27" s="63">
        <f>K27/M27-1</f>
        <v>-0.83831058020477811</v>
      </c>
      <c r="P27" s="47">
        <f>P10+P13+P16+P19+P22+P25</f>
        <v>667</v>
      </c>
      <c r="Q27" s="47">
        <f>Q10+Q13+Q16+Q19+Q22+Q25</f>
        <v>3344</v>
      </c>
    </row>
    <row r="28" spans="1:33" s="23" customFormat="1" ht="15.6" thickTop="1" thickBot="1">
      <c r="A28" s="10"/>
      <c r="B28" s="13"/>
      <c r="C28" s="39" t="s">
        <v>13</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thickTop="1">
      <c r="A29" s="10"/>
      <c r="B29" s="10"/>
      <c r="C29" s="10"/>
      <c r="D29" s="10"/>
      <c r="E29" s="10"/>
      <c r="F29" s="42"/>
      <c r="G29" s="42"/>
      <c r="H29" s="42"/>
      <c r="I29" s="10"/>
      <c r="J29" s="10"/>
      <c r="K29" s="10"/>
      <c r="L29" s="10"/>
      <c r="M29" s="10"/>
      <c r="N29" s="10"/>
      <c r="O29" s="10"/>
      <c r="P29" s="10"/>
      <c r="Q29" s="10"/>
    </row>
    <row r="30" spans="1:33" ht="14.4" hidden="1">
      <c r="A30" s="10"/>
      <c r="B30" s="10"/>
      <c r="C30" s="10"/>
      <c r="D30" s="10"/>
      <c r="E30" s="10"/>
      <c r="F30" s="42"/>
      <c r="G30" s="42"/>
      <c r="H30" s="42"/>
      <c r="I30" s="10"/>
      <c r="J30" s="10"/>
      <c r="K30" s="10"/>
      <c r="L30" s="10"/>
      <c r="M30" s="10"/>
      <c r="N30" s="10"/>
      <c r="O30" s="10"/>
      <c r="P30" s="10"/>
      <c r="Q30" s="10"/>
    </row>
    <row r="31" spans="1:33" ht="14.4" hidden="1">
      <c r="A31" s="10"/>
      <c r="B31" s="10"/>
      <c r="C31" s="10"/>
      <c r="D31" s="10"/>
      <c r="E31" s="10"/>
      <c r="F31" s="42"/>
      <c r="G31" s="42"/>
      <c r="H31" s="42"/>
      <c r="I31" s="10"/>
      <c r="J31" s="10"/>
      <c r="K31" s="10"/>
      <c r="L31" s="10"/>
      <c r="M31" s="10"/>
      <c r="N31" s="10"/>
      <c r="O31" s="10"/>
      <c r="P31" s="10"/>
      <c r="Q31" s="10"/>
    </row>
    <row r="32" spans="1:33" ht="14.4" hidden="1">
      <c r="A32" s="10"/>
      <c r="B32" s="10"/>
      <c r="C32" s="10"/>
      <c r="D32" s="10"/>
      <c r="E32" s="10"/>
      <c r="F32" s="42"/>
      <c r="G32" s="42"/>
      <c r="H32" s="42"/>
      <c r="I32" s="10"/>
      <c r="J32" s="10"/>
      <c r="K32" s="10"/>
      <c r="L32" s="10"/>
      <c r="M32" s="10"/>
      <c r="N32" s="10"/>
      <c r="O32" s="10"/>
      <c r="P32" s="10"/>
      <c r="Q32" s="10"/>
    </row>
    <row r="33" spans="1:17" ht="14.4" hidden="1">
      <c r="A33" s="10"/>
      <c r="B33" s="10"/>
      <c r="C33" s="10"/>
      <c r="D33" s="10"/>
      <c r="E33" s="10"/>
      <c r="F33" s="42"/>
      <c r="G33" s="42"/>
      <c r="H33" s="42"/>
      <c r="I33" s="10"/>
      <c r="J33" s="10"/>
      <c r="K33" s="10"/>
      <c r="L33" s="10"/>
      <c r="M33" s="10"/>
      <c r="N33" s="10"/>
      <c r="O33" s="10"/>
      <c r="P33" s="10"/>
      <c r="Q33" s="10"/>
    </row>
    <row r="34" spans="1:17" ht="14.4" hidden="1">
      <c r="A34" s="10"/>
      <c r="B34" s="10"/>
      <c r="C34" s="10"/>
      <c r="D34" s="10"/>
      <c r="E34" s="10"/>
      <c r="F34" s="42"/>
      <c r="G34" s="42"/>
      <c r="H34" s="42"/>
      <c r="I34" s="10"/>
      <c r="J34" s="10"/>
      <c r="K34" s="10"/>
      <c r="L34" s="10"/>
      <c r="M34" s="10"/>
      <c r="N34" s="10"/>
      <c r="O34" s="10"/>
      <c r="P34" s="10"/>
      <c r="Q34" s="10"/>
    </row>
    <row r="35" spans="1:17" ht="14.4" hidden="1">
      <c r="A35" s="10"/>
      <c r="B35" s="10"/>
      <c r="C35" s="10"/>
      <c r="D35" s="10"/>
      <c r="E35" s="10"/>
      <c r="F35" s="42"/>
      <c r="G35" s="42"/>
      <c r="H35" s="42"/>
      <c r="I35" s="10"/>
      <c r="J35" s="10"/>
      <c r="K35" s="10"/>
      <c r="L35" s="10"/>
      <c r="M35" s="10"/>
      <c r="N35" s="10"/>
      <c r="O35" s="10"/>
      <c r="P35" s="10"/>
      <c r="Q35" s="10"/>
    </row>
    <row r="36" spans="1:17" ht="14.4" hidden="1">
      <c r="A36" s="10"/>
      <c r="B36" s="10"/>
      <c r="C36" s="10"/>
      <c r="D36" s="10"/>
      <c r="E36" s="10"/>
      <c r="F36" s="42"/>
      <c r="G36" s="42"/>
      <c r="H36" s="42"/>
      <c r="I36" s="10"/>
      <c r="J36" s="10"/>
      <c r="K36" s="10"/>
      <c r="L36" s="10"/>
      <c r="M36" s="10"/>
      <c r="N36" s="10"/>
      <c r="O36" s="10"/>
      <c r="P36" s="10"/>
      <c r="Q36" s="10"/>
    </row>
    <row r="37" spans="1:17" ht="14.4" hidden="1">
      <c r="A37" s="10"/>
      <c r="B37" s="10"/>
      <c r="C37" s="10"/>
      <c r="D37" s="10"/>
      <c r="E37" s="10"/>
      <c r="F37" s="42"/>
      <c r="G37" s="42"/>
      <c r="H37" s="42"/>
      <c r="I37" s="10"/>
      <c r="J37" s="10"/>
      <c r="K37" s="10"/>
      <c r="L37" s="10"/>
      <c r="M37" s="10"/>
      <c r="N37" s="10"/>
      <c r="O37" s="10"/>
      <c r="P37" s="10"/>
      <c r="Q37" s="10"/>
    </row>
    <row r="38" spans="1:17" ht="14.4" hidden="1">
      <c r="A38" s="10"/>
      <c r="B38" s="10"/>
      <c r="C38" s="10"/>
      <c r="D38" s="10"/>
      <c r="E38" s="10"/>
      <c r="F38" s="42"/>
      <c r="G38" s="42"/>
      <c r="H38" s="42"/>
      <c r="I38" s="10"/>
      <c r="J38" s="10"/>
      <c r="K38" s="10"/>
      <c r="L38" s="10"/>
      <c r="M38" s="10"/>
      <c r="N38" s="10"/>
      <c r="O38" s="10"/>
      <c r="P38" s="10"/>
      <c r="Q38" s="10"/>
    </row>
    <row r="39" spans="1:17" ht="14.4" hidden="1">
      <c r="A39" s="10"/>
      <c r="B39" s="10"/>
      <c r="C39" s="10"/>
      <c r="D39" s="10"/>
      <c r="E39" s="10"/>
      <c r="F39" s="42"/>
      <c r="G39" s="42"/>
      <c r="H39" s="42"/>
      <c r="I39" s="10"/>
      <c r="J39" s="10"/>
      <c r="K39" s="10"/>
      <c r="L39" s="10"/>
      <c r="M39" s="10"/>
      <c r="N39" s="10"/>
      <c r="O39" s="10"/>
      <c r="P39" s="10"/>
      <c r="Q39" s="10"/>
    </row>
    <row r="40" spans="1:17" ht="14.4" hidden="1">
      <c r="A40" s="10"/>
      <c r="B40" s="10"/>
      <c r="C40" s="10"/>
      <c r="D40" s="10"/>
      <c r="E40" s="10"/>
      <c r="F40" s="42"/>
      <c r="G40" s="42"/>
      <c r="H40" s="42"/>
      <c r="I40" s="10"/>
      <c r="J40" s="10"/>
      <c r="K40" s="10"/>
      <c r="L40" s="10"/>
      <c r="M40" s="10"/>
      <c r="N40" s="10"/>
      <c r="O40" s="10"/>
      <c r="P40" s="10"/>
      <c r="Q40" s="10"/>
    </row>
    <row r="41" spans="1:17" ht="14.4" hidden="1">
      <c r="A41" s="10"/>
      <c r="B41" s="10"/>
      <c r="C41" s="10"/>
      <c r="D41" s="10"/>
      <c r="E41" s="10"/>
      <c r="F41" s="42"/>
      <c r="G41" s="42"/>
      <c r="H41" s="42"/>
      <c r="I41" s="10"/>
      <c r="J41" s="10"/>
      <c r="K41" s="10"/>
      <c r="L41" s="10"/>
      <c r="M41" s="10"/>
      <c r="N41" s="10"/>
      <c r="O41" s="10"/>
      <c r="P41" s="10"/>
      <c r="Q41" s="10"/>
    </row>
    <row r="42" spans="1:17" ht="14.4" hidden="1">
      <c r="A42" s="10"/>
      <c r="B42" s="10"/>
      <c r="C42" s="10"/>
      <c r="D42" s="10"/>
      <c r="E42" s="10"/>
      <c r="F42" s="42"/>
      <c r="G42" s="42"/>
      <c r="H42" s="42"/>
      <c r="I42" s="10"/>
      <c r="J42" s="10"/>
      <c r="K42" s="10"/>
      <c r="L42" s="10"/>
      <c r="M42" s="10"/>
      <c r="N42" s="10"/>
      <c r="O42" s="10"/>
      <c r="P42" s="10"/>
      <c r="Q42" s="10"/>
    </row>
    <row r="43" spans="1:17" ht="14.4" hidden="1">
      <c r="A43" s="10"/>
      <c r="B43" s="10"/>
      <c r="C43" s="10"/>
      <c r="D43" s="10"/>
      <c r="E43" s="10"/>
      <c r="F43" s="42"/>
      <c r="G43" s="42"/>
      <c r="H43" s="42"/>
      <c r="I43" s="10"/>
      <c r="J43" s="10"/>
      <c r="K43" s="10"/>
      <c r="L43" s="10"/>
      <c r="M43" s="10"/>
      <c r="N43" s="10"/>
      <c r="O43" s="10"/>
      <c r="P43" s="10"/>
      <c r="Q43" s="10"/>
    </row>
    <row r="44" spans="1:17" ht="14.4" hidden="1">
      <c r="A44" s="10"/>
      <c r="B44" s="10"/>
      <c r="C44" s="10"/>
      <c r="D44" s="10"/>
      <c r="E44" s="10"/>
      <c r="F44" s="42"/>
      <c r="G44" s="42"/>
      <c r="H44" s="42"/>
      <c r="I44" s="10"/>
      <c r="J44" s="10"/>
      <c r="K44" s="10"/>
      <c r="L44" s="10"/>
      <c r="M44" s="10"/>
      <c r="N44" s="10"/>
      <c r="O44" s="10"/>
      <c r="P44" s="10"/>
      <c r="Q44" s="10"/>
    </row>
    <row r="45" spans="1:17" ht="14.4" hidden="1">
      <c r="A45" s="10"/>
      <c r="B45" s="10"/>
      <c r="C45" s="10"/>
      <c r="D45" s="10"/>
      <c r="E45" s="10"/>
      <c r="F45" s="42"/>
      <c r="G45" s="42"/>
      <c r="H45" s="42"/>
      <c r="I45" s="10"/>
      <c r="J45" s="10"/>
      <c r="K45" s="10"/>
      <c r="L45" s="10"/>
      <c r="M45" s="10"/>
      <c r="N45" s="10"/>
      <c r="O45" s="10"/>
      <c r="P45" s="10"/>
      <c r="Q45" s="10"/>
    </row>
    <row r="46" spans="1:17" ht="14.4" hidden="1">
      <c r="A46" s="10"/>
      <c r="B46" s="10"/>
      <c r="C46" s="10"/>
      <c r="D46" s="10"/>
      <c r="E46" s="10"/>
      <c r="F46" s="42"/>
      <c r="G46" s="42"/>
      <c r="H46" s="42"/>
      <c r="I46" s="10"/>
      <c r="J46" s="10"/>
      <c r="K46" s="10"/>
      <c r="L46" s="10"/>
      <c r="M46" s="10"/>
      <c r="N46" s="10"/>
      <c r="O46" s="10"/>
      <c r="P46" s="10"/>
      <c r="Q46" s="10"/>
    </row>
    <row r="47" spans="1:17" ht="14.4" hidden="1">
      <c r="A47" s="10"/>
      <c r="B47" s="10"/>
      <c r="C47" s="10"/>
      <c r="D47" s="10"/>
      <c r="E47" s="10"/>
      <c r="F47" s="42"/>
      <c r="G47" s="42"/>
      <c r="H47" s="42"/>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pageSetUpPr fitToPage="1"/>
  </sheetPr>
  <dimension ref="A1:AH44"/>
  <sheetViews>
    <sheetView showGridLines="0"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8" thickBot="1">
      <c r="B2" s="14"/>
      <c r="C2" s="16" t="s">
        <v>4</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47523-3128-438B-A8AD-2C43A61C26B4}">
  <sheetPr>
    <tabColor theme="6" tint="-0.499984740745262"/>
    <pageSetUpPr fitToPage="1"/>
  </sheetPr>
  <dimension ref="A1:AT56"/>
  <sheetViews>
    <sheetView showGridLines="0" zoomScale="90" zoomScaleNormal="90" zoomScalePageLayoutView="40" workbookViewId="0">
      <selection activeCell="P9" sqref="P9"/>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100" customWidth="1"/>
    <col min="18" max="18" width="8.6640625" customWidth="1"/>
    <col min="19" max="19" width="11.33203125" bestFit="1" customWidth="1"/>
    <col min="20" max="20" width="3.33203125" style="10" customWidth="1"/>
    <col min="21" max="35" width="0" style="10" hidden="1" customWidth="1"/>
    <col min="36" max="46" width="0" hidden="1" customWidth="1"/>
    <col min="47" max="16384" width="9.109375" hidden="1"/>
  </cols>
  <sheetData>
    <row r="1" spans="1:35" ht="14.4">
      <c r="A1" s="10"/>
      <c r="B1" s="10"/>
      <c r="C1" s="10"/>
      <c r="D1" s="10"/>
      <c r="E1" s="10"/>
      <c r="F1" s="94"/>
      <c r="G1" s="94"/>
      <c r="H1" s="94"/>
      <c r="I1" s="94"/>
      <c r="J1" s="94"/>
      <c r="K1" s="94"/>
      <c r="L1" s="94"/>
      <c r="M1" s="94"/>
      <c r="N1" s="94"/>
      <c r="O1" s="94"/>
      <c r="P1" s="94"/>
      <c r="Q1" s="94"/>
      <c r="R1" s="10"/>
      <c r="S1" s="10"/>
    </row>
    <row r="2" spans="1:35" ht="18.600000000000001" thickBot="1">
      <c r="A2" s="10"/>
      <c r="B2" s="9" t="s">
        <v>87</v>
      </c>
      <c r="C2" s="24"/>
      <c r="D2" s="24"/>
      <c r="E2" s="24"/>
      <c r="F2" s="95"/>
      <c r="G2" s="95"/>
      <c r="H2" s="95"/>
      <c r="I2" s="95"/>
      <c r="J2" s="95"/>
      <c r="K2" s="95"/>
      <c r="L2" s="95"/>
      <c r="M2" s="95"/>
      <c r="N2" s="95"/>
      <c r="O2" s="95"/>
      <c r="P2" s="95"/>
      <c r="Q2" s="95"/>
      <c r="R2" s="24"/>
      <c r="S2" s="24"/>
    </row>
    <row r="3" spans="1:35" ht="14.4">
      <c r="A3" s="10"/>
      <c r="B3" s="11"/>
      <c r="C3" s="25"/>
      <c r="D3" s="25"/>
      <c r="E3" s="25"/>
      <c r="F3" s="96"/>
      <c r="G3" s="96"/>
      <c r="H3" s="96"/>
      <c r="I3" s="96"/>
      <c r="J3" s="96"/>
      <c r="K3" s="96"/>
      <c r="L3" s="96"/>
      <c r="M3" s="96"/>
      <c r="N3" s="96"/>
      <c r="O3" s="96"/>
      <c r="P3" s="96"/>
      <c r="Q3" s="96"/>
      <c r="R3" s="25"/>
      <c r="S3" s="26">
        <f>+' '!I17</f>
        <v>44910</v>
      </c>
    </row>
    <row r="4" spans="1:35" ht="16.2">
      <c r="A4" s="10"/>
      <c r="B4" s="12" t="s">
        <v>7</v>
      </c>
      <c r="C4" s="27"/>
      <c r="D4" s="25"/>
      <c r="E4" s="59" t="s">
        <v>88</v>
      </c>
      <c r="F4" s="96"/>
      <c r="G4" s="96"/>
      <c r="H4" s="96"/>
      <c r="I4" s="96"/>
      <c r="J4" s="96"/>
      <c r="K4" s="96"/>
      <c r="L4" s="96"/>
      <c r="M4" s="96"/>
      <c r="N4" s="96"/>
      <c r="O4" s="96"/>
      <c r="P4" s="96"/>
      <c r="Q4" s="96"/>
      <c r="R4" s="25"/>
      <c r="S4" s="25"/>
    </row>
    <row r="5" spans="1:35" ht="14.4">
      <c r="A5" s="10"/>
      <c r="B5" s="11"/>
      <c r="C5" s="25"/>
      <c r="D5" s="25"/>
      <c r="E5" s="25"/>
      <c r="F5" s="96"/>
      <c r="G5" s="96"/>
      <c r="H5" s="96"/>
      <c r="I5" s="96"/>
      <c r="J5" s="96"/>
      <c r="K5" s="96"/>
      <c r="L5" s="96"/>
      <c r="M5" s="96"/>
      <c r="N5" s="96"/>
      <c r="O5" s="96"/>
      <c r="P5" s="96"/>
      <c r="Q5" s="96"/>
      <c r="R5" s="25"/>
      <c r="S5" s="25"/>
    </row>
    <row r="6" spans="1:35" ht="14.4">
      <c r="A6" s="10"/>
      <c r="B6" s="87" t="s">
        <v>83</v>
      </c>
      <c r="D6" s="25"/>
      <c r="E6" s="25"/>
      <c r="F6" s="96"/>
      <c r="G6" s="96"/>
      <c r="H6" s="96"/>
      <c r="I6" s="96"/>
      <c r="J6" s="96"/>
      <c r="K6" s="96"/>
      <c r="L6" s="96"/>
      <c r="M6" s="96"/>
      <c r="N6" s="96"/>
      <c r="O6" s="96"/>
      <c r="P6" s="96"/>
      <c r="Q6" s="96"/>
      <c r="R6" s="25"/>
      <c r="S6" s="25"/>
    </row>
    <row r="7" spans="1:35" ht="14.4">
      <c r="A7" s="10"/>
      <c r="B7" s="11"/>
      <c r="C7" s="25"/>
      <c r="D7" s="25"/>
      <c r="E7" s="25"/>
      <c r="F7" s="96"/>
      <c r="G7" s="96"/>
      <c r="H7" s="96"/>
      <c r="I7" s="96"/>
      <c r="J7" s="96"/>
      <c r="K7" s="96"/>
      <c r="L7" s="96"/>
      <c r="M7" s="96"/>
      <c r="N7" s="96"/>
      <c r="O7" s="96"/>
      <c r="P7" s="96"/>
      <c r="Q7" s="96"/>
      <c r="R7" s="25"/>
      <c r="S7" s="25"/>
    </row>
    <row r="8" spans="1:35" s="21" customFormat="1" ht="14.4">
      <c r="A8" s="10"/>
      <c r="B8"/>
      <c r="C8" s="28" t="s">
        <v>7</v>
      </c>
      <c r="D8" s="29"/>
      <c r="E8" s="29"/>
      <c r="F8" s="97" t="s">
        <v>75</v>
      </c>
      <c r="G8" s="97" t="s">
        <v>76</v>
      </c>
      <c r="H8" s="97" t="s">
        <v>77</v>
      </c>
      <c r="I8" s="97" t="s">
        <v>45</v>
      </c>
      <c r="J8" s="97" t="s">
        <v>47</v>
      </c>
      <c r="K8" s="97" t="s">
        <v>51</v>
      </c>
      <c r="L8" s="97" t="s">
        <v>55</v>
      </c>
      <c r="M8" s="97" t="s">
        <v>78</v>
      </c>
      <c r="N8" s="97" t="s">
        <v>79</v>
      </c>
      <c r="O8" s="97" t="s">
        <v>80</v>
      </c>
      <c r="P8" s="97" t="s">
        <v>81</v>
      </c>
      <c r="Q8" s="97" t="s">
        <v>82</v>
      </c>
      <c r="R8"/>
      <c r="S8"/>
      <c r="T8" s="10"/>
      <c r="U8" s="20"/>
      <c r="V8" s="20"/>
      <c r="W8" s="20"/>
      <c r="X8" s="20"/>
      <c r="Y8" s="20"/>
      <c r="Z8" s="20"/>
      <c r="AA8" s="20"/>
      <c r="AB8" s="20"/>
      <c r="AC8" s="20"/>
      <c r="AD8" s="20"/>
      <c r="AE8" s="20"/>
      <c r="AF8" s="20"/>
      <c r="AG8" s="20"/>
      <c r="AH8" s="20"/>
      <c r="AI8" s="20"/>
    </row>
    <row r="9" spans="1:35" ht="20.25" customHeight="1">
      <c r="A9" s="10"/>
      <c r="B9" s="19"/>
      <c r="C9" s="92" t="s">
        <v>84</v>
      </c>
      <c r="D9" s="31"/>
      <c r="E9" s="31"/>
      <c r="F9" s="98">
        <v>0.41823087434338119</v>
      </c>
      <c r="G9" s="99">
        <v>0.47083755198064259</v>
      </c>
      <c r="H9" s="99">
        <v>0.6233573525072601</v>
      </c>
      <c r="I9" s="99">
        <v>0.66777314044950997</v>
      </c>
      <c r="J9" s="99">
        <v>0.65681540466649779</v>
      </c>
      <c r="K9" s="99">
        <v>0.78080882831305709</v>
      </c>
      <c r="L9" s="99">
        <v>0.89027550740676809</v>
      </c>
      <c r="M9" s="99">
        <v>0.96622440101119256</v>
      </c>
      <c r="N9" s="99">
        <v>0.88649846333967508</v>
      </c>
      <c r="O9" s="99">
        <v>0.87554585152838427</v>
      </c>
      <c r="P9" s="99"/>
      <c r="Q9" s="99"/>
    </row>
    <row r="10" spans="1:35" ht="20.25" customHeight="1">
      <c r="A10" s="10"/>
      <c r="B10" s="10"/>
      <c r="C10" s="10"/>
      <c r="D10" s="10"/>
      <c r="E10" s="10"/>
      <c r="F10" s="94"/>
      <c r="G10" s="94"/>
      <c r="H10" s="94"/>
      <c r="I10" s="94"/>
      <c r="J10" s="94"/>
      <c r="K10" s="94"/>
      <c r="L10" s="94"/>
      <c r="M10" s="94"/>
      <c r="N10" s="94"/>
      <c r="O10" s="94"/>
      <c r="P10" s="94"/>
      <c r="Q10" s="94"/>
      <c r="R10" s="10"/>
    </row>
    <row r="11" spans="1:35" ht="26.7" customHeight="1">
      <c r="C11" s="93" t="s">
        <v>86</v>
      </c>
    </row>
    <row r="12" spans="1:35" ht="26.7" hidden="1" customHeight="1"/>
    <row r="13" spans="1:35" ht="26.4" hidden="1" customHeight="1"/>
    <row r="14" spans="1:35" ht="26.4" hidden="1" customHeight="1"/>
    <row r="15" spans="1:35" ht="26.7" hidden="1" customHeight="1"/>
    <row r="16" spans="1:35"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11.4" hidden="1" customHeight="1"/>
    <row r="38" ht="9" hidden="1" customHeight="1"/>
    <row r="39" ht="17.399999999999999" hidden="1" customHeight="1"/>
    <row r="40" ht="26.7"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8F7D82-2DBC-44A6-8BBA-D36845B79124}">
  <sheetPr>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18.600000000000001" thickBot="1">
      <c r="B2" s="14"/>
      <c r="C2" s="9" t="s">
        <v>6</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8">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t="s">
        <v>85</v>
      </c>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F87EB-41C8-4541-84CA-2E9F17F996F6}">
  <sheetPr>
    <pageSetUpPr fitToPage="1"/>
  </sheetPr>
  <dimension ref="A1:AT68"/>
  <sheetViews>
    <sheetView showGridLines="0" zoomScale="110" zoomScaleNormal="110" zoomScalePageLayoutView="40" workbookViewId="0">
      <selection activeCell="M28" sqref="M28"/>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v>44910</v>
      </c>
    </row>
    <row r="4" spans="1:38" ht="16.2">
      <c r="A4" s="10"/>
      <c r="B4" s="12" t="s">
        <v>7</v>
      </c>
      <c r="C4" s="27"/>
      <c r="D4" s="25"/>
      <c r="E4" s="59" t="s">
        <v>94</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02" t="s">
        <v>27</v>
      </c>
      <c r="G9" s="102"/>
      <c r="H9" s="102"/>
      <c r="I9" s="102"/>
      <c r="J9" s="102"/>
      <c r="K9" s="102"/>
      <c r="L9" s="103"/>
      <c r="M9" s="104" t="s">
        <v>95</v>
      </c>
      <c r="N9" s="102"/>
      <c r="O9" s="102"/>
      <c r="P9" s="102"/>
      <c r="Q9" s="102"/>
      <c r="R9" s="102"/>
      <c r="S9" s="103"/>
      <c r="T9" s="104" t="s">
        <v>57</v>
      </c>
      <c r="U9" s="102"/>
      <c r="V9" s="105"/>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4">
        <v>40</v>
      </c>
      <c r="G13" s="72">
        <v>21</v>
      </c>
      <c r="H13" s="72">
        <v>0</v>
      </c>
      <c r="I13" s="72">
        <v>51</v>
      </c>
      <c r="J13" s="65">
        <f t="shared" ref="J13:J31" si="0">IFERROR(F13/G13-1,"n/a")</f>
        <v>0.90476190476190466</v>
      </c>
      <c r="K13" s="65" t="str">
        <f>IFERROR(F13/H13-1,"n/a")</f>
        <v>n/a</v>
      </c>
      <c r="L13" s="61">
        <f t="shared" ref="L13:L14" si="1">IFERROR(F13/I13-1,"n/a")</f>
        <v>-0.21568627450980393</v>
      </c>
      <c r="M13" s="69">
        <f>F13+'Oct-22'!M13</f>
        <v>273</v>
      </c>
      <c r="N13" s="69">
        <f>G13+'Oct-22'!N13</f>
        <v>41</v>
      </c>
      <c r="O13" s="69">
        <f>H13+'Oct-22'!O13</f>
        <v>145</v>
      </c>
      <c r="P13" s="69">
        <f>I13+'Oct-22'!P13</f>
        <v>317</v>
      </c>
      <c r="Q13" s="65">
        <f>IFERROR(M13/N13-1,"n/a")</f>
        <v>5.6585365853658534</v>
      </c>
      <c r="R13" s="65">
        <f>IFERROR(M13/O13-1,"n/a")</f>
        <v>0.88275862068965516</v>
      </c>
      <c r="S13" s="61">
        <f>IFERROR(M13/P13-1,"n/a")</f>
        <v>-0.13880126182965302</v>
      </c>
      <c r="T13" s="69">
        <v>111</v>
      </c>
      <c r="U13" s="71">
        <v>145</v>
      </c>
      <c r="V13" s="79">
        <v>386</v>
      </c>
    </row>
    <row r="14" spans="1:38" ht="14.4">
      <c r="A14" s="10"/>
      <c r="B14" s="13"/>
      <c r="C14" s="34"/>
      <c r="D14" s="27" t="s">
        <v>11</v>
      </c>
      <c r="E14" s="33"/>
      <c r="F14" s="74">
        <v>62272</v>
      </c>
      <c r="G14" s="72">
        <v>23175</v>
      </c>
      <c r="H14" s="72">
        <v>0</v>
      </c>
      <c r="I14" s="72">
        <v>89764</v>
      </c>
      <c r="J14" s="65">
        <f t="shared" si="0"/>
        <v>1.6870334412081984</v>
      </c>
      <c r="K14" s="65" t="str">
        <f t="shared" ref="K14" si="2">IFERROR(F14/H14-1,"n/a")</f>
        <v>n/a</v>
      </c>
      <c r="L14" s="61">
        <f t="shared" si="1"/>
        <v>-0.30626977407423916</v>
      </c>
      <c r="M14" s="69">
        <f>F14+'Oct-22'!M14</f>
        <v>268964</v>
      </c>
      <c r="N14" s="69">
        <f>G14+'Oct-22'!N14</f>
        <v>28096</v>
      </c>
      <c r="O14" s="69">
        <f>H14+'Oct-22'!O14</f>
        <v>258885</v>
      </c>
      <c r="P14" s="69">
        <f>I14+'Oct-22'!P14</f>
        <v>613093</v>
      </c>
      <c r="Q14" s="65">
        <f>IFERROR(M14/N14-1,"n/a")</f>
        <v>8.5730353075170846</v>
      </c>
      <c r="R14" s="65">
        <f>IFERROR(M14/O14-1,"n/a")</f>
        <v>3.8932344477277558E-2</v>
      </c>
      <c r="S14" s="61">
        <f>IFERROR(M14/P14-1,"n/a")</f>
        <v>-0.5612998354246419</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91</v>
      </c>
      <c r="G16" s="72">
        <v>67</v>
      </c>
      <c r="H16" s="72">
        <v>0</v>
      </c>
      <c r="I16" s="72">
        <v>95</v>
      </c>
      <c r="J16" s="65">
        <f t="shared" si="0"/>
        <v>0.35820895522388052</v>
      </c>
      <c r="K16" s="65" t="str">
        <f t="shared" ref="K16:K17" si="3">IFERROR(F16/H16-1,"n/a")</f>
        <v>n/a</v>
      </c>
      <c r="L16" s="61">
        <f t="shared" ref="L16:L17" si="4">IFERROR(F16/I16-1,"n/a")</f>
        <v>-4.2105263157894757E-2</v>
      </c>
      <c r="M16" s="69">
        <f>F16+'Oct-22'!M16</f>
        <v>747</v>
      </c>
      <c r="N16" s="69">
        <f>G16+'Oct-22'!N16</f>
        <v>258</v>
      </c>
      <c r="O16" s="69">
        <f>H16+'Oct-22'!O16</f>
        <v>43</v>
      </c>
      <c r="P16" s="69">
        <f>I16+'Oct-22'!P16</f>
        <v>807</v>
      </c>
      <c r="Q16" s="65">
        <f t="shared" ref="Q16:Q17" si="5">IFERROR(M16/N16-1,"n/a")</f>
        <v>1.8953488372093021</v>
      </c>
      <c r="R16" s="65">
        <f t="shared" ref="R16:R17" si="6">IFERROR(M16/O16-1,"n/a")</f>
        <v>16.372093023255815</v>
      </c>
      <c r="S16" s="61">
        <f t="shared" ref="S16:S17" si="7">IFERROR(M16/P16-1,"n/a")</f>
        <v>-7.4349442379182173E-2</v>
      </c>
      <c r="T16" s="69">
        <v>283</v>
      </c>
      <c r="U16" s="71">
        <v>43</v>
      </c>
      <c r="V16" s="79">
        <v>827</v>
      </c>
    </row>
    <row r="17" spans="1:46" ht="14.4">
      <c r="A17" s="10"/>
      <c r="B17" s="13"/>
      <c r="C17" s="34"/>
      <c r="D17" s="27" t="s">
        <v>11</v>
      </c>
      <c r="E17" s="33"/>
      <c r="F17" s="75">
        <v>175248</v>
      </c>
      <c r="G17" s="72">
        <v>83507</v>
      </c>
      <c r="H17" s="72">
        <v>0</v>
      </c>
      <c r="I17" s="72">
        <v>263747</v>
      </c>
      <c r="J17" s="65">
        <f t="shared" si="0"/>
        <v>1.0986025123642329</v>
      </c>
      <c r="K17" s="65" t="str">
        <f t="shared" si="3"/>
        <v>n/a</v>
      </c>
      <c r="L17" s="61">
        <f t="shared" si="4"/>
        <v>-0.33554504885363623</v>
      </c>
      <c r="M17" s="69">
        <f>F17+'Oct-22'!M17</f>
        <v>1755234</v>
      </c>
      <c r="N17" s="69">
        <f>G17+'Oct-22'!N17</f>
        <v>425895</v>
      </c>
      <c r="O17" s="69">
        <f>H17+'Oct-22'!O17</f>
        <v>140552</v>
      </c>
      <c r="P17" s="69">
        <f>I17+'Oct-22'!P17</f>
        <v>2493999</v>
      </c>
      <c r="Q17" s="65">
        <f t="shared" si="5"/>
        <v>3.1212834149262143</v>
      </c>
      <c r="R17" s="65">
        <f t="shared" si="6"/>
        <v>11.488146735727701</v>
      </c>
      <c r="S17" s="61">
        <f t="shared" si="7"/>
        <v>-0.29621703938133093</v>
      </c>
      <c r="T17" s="69">
        <v>465109</v>
      </c>
      <c r="U17" s="71">
        <v>140552</v>
      </c>
      <c r="V17" s="79">
        <v>2552942</v>
      </c>
    </row>
    <row r="18" spans="1:46" ht="14.4">
      <c r="A18" s="10"/>
      <c r="B18" s="13"/>
      <c r="C18" s="32" t="s">
        <v>15</v>
      </c>
      <c r="D18" s="27"/>
      <c r="E18" s="33"/>
      <c r="F18" s="73"/>
      <c r="G18" s="73"/>
      <c r="H18" s="73"/>
      <c r="I18" s="73"/>
      <c r="J18" s="65"/>
      <c r="K18" s="65"/>
      <c r="L18" s="61"/>
      <c r="M18" s="88"/>
      <c r="N18" s="88"/>
      <c r="O18" s="88"/>
      <c r="P18" s="88"/>
      <c r="Q18" s="65"/>
      <c r="R18" s="65"/>
      <c r="S18" s="61"/>
      <c r="T18" s="44"/>
      <c r="U18" s="45"/>
      <c r="V18" s="80"/>
    </row>
    <row r="19" spans="1:46" ht="14.4">
      <c r="A19" s="10"/>
      <c r="B19" s="13"/>
      <c r="C19" s="34"/>
      <c r="D19" s="27" t="s">
        <v>5</v>
      </c>
      <c r="E19" s="33"/>
      <c r="F19" s="75">
        <v>32</v>
      </c>
      <c r="G19" s="72">
        <v>9</v>
      </c>
      <c r="H19" s="72">
        <v>0</v>
      </c>
      <c r="I19" s="72">
        <v>10</v>
      </c>
      <c r="J19" s="65">
        <f t="shared" si="0"/>
        <v>2.5555555555555554</v>
      </c>
      <c r="K19" s="65" t="str">
        <f t="shared" ref="K19:K20" si="8">IFERROR(F19/H19-1,"n/a")</f>
        <v>n/a</v>
      </c>
      <c r="L19" s="61">
        <f>IFERROR(F19/I19-1,"n/a")</f>
        <v>2.2000000000000002</v>
      </c>
      <c r="M19" s="69">
        <f>F19+'Oct-22'!M19</f>
        <v>466</v>
      </c>
      <c r="N19" s="69">
        <f>G19+'Oct-22'!N19</f>
        <v>20</v>
      </c>
      <c r="O19" s="69">
        <f>H19+'Oct-22'!O19</f>
        <v>4</v>
      </c>
      <c r="P19" s="69">
        <f>I19+'Oct-22'!P19</f>
        <v>182</v>
      </c>
      <c r="Q19" s="65">
        <f t="shared" ref="Q19:Q20" si="9">IFERROR(M19/N19-1,"n/a")</f>
        <v>22.3</v>
      </c>
      <c r="R19" s="65">
        <f t="shared" ref="R19:R20" si="10">IFERROR(M19/O19-1,"n/a")</f>
        <v>115.5</v>
      </c>
      <c r="S19" s="61">
        <f t="shared" ref="S19:S20" si="11">IFERROR(M19/P19-1,"n/a")</f>
        <v>1.5604395604395602</v>
      </c>
      <c r="T19" s="69">
        <v>23</v>
      </c>
      <c r="U19" s="71">
        <v>4</v>
      </c>
      <c r="V19" s="79">
        <v>191</v>
      </c>
    </row>
    <row r="20" spans="1:46" ht="14.4">
      <c r="A20" s="10"/>
      <c r="B20" s="13"/>
      <c r="C20" s="34"/>
      <c r="D20" s="27" t="s">
        <v>11</v>
      </c>
      <c r="E20" s="33"/>
      <c r="F20" s="75">
        <f>31191+116</f>
        <v>31307</v>
      </c>
      <c r="G20" s="72">
        <v>4212</v>
      </c>
      <c r="H20" s="72">
        <v>0</v>
      </c>
      <c r="I20" s="72">
        <v>13055</v>
      </c>
      <c r="J20" s="65">
        <f t="shared" si="0"/>
        <v>6.4328110161443499</v>
      </c>
      <c r="K20" s="65" t="str">
        <f t="shared" si="8"/>
        <v>n/a</v>
      </c>
      <c r="L20" s="61">
        <f t="shared" ref="L20:L31" si="12">IFERROR(F20/I20-1,"n/a")</f>
        <v>1.3980850248946766</v>
      </c>
      <c r="M20" s="69">
        <f>F20+'Oct-22'!M20</f>
        <v>555915</v>
      </c>
      <c r="N20" s="69">
        <f>G20+'Oct-22'!N20</f>
        <v>7747</v>
      </c>
      <c r="O20" s="69">
        <f>H20+'Oct-22'!O20</f>
        <v>1753</v>
      </c>
      <c r="P20" s="69">
        <f>I20+'Oct-22'!P20</f>
        <v>244596</v>
      </c>
      <c r="Q20" s="65">
        <f t="shared" si="9"/>
        <v>70.758745320769336</v>
      </c>
      <c r="R20" s="65">
        <f t="shared" si="10"/>
        <v>316.1220764403879</v>
      </c>
      <c r="S20" s="61">
        <f t="shared" si="11"/>
        <v>1.2727885983417555</v>
      </c>
      <c r="T20" s="69">
        <v>8611</v>
      </c>
      <c r="U20" s="71">
        <v>1753</v>
      </c>
      <c r="V20" s="79">
        <v>254421</v>
      </c>
    </row>
    <row r="21" spans="1:46" ht="14.4">
      <c r="A21" s="10"/>
      <c r="B21" s="13"/>
      <c r="C21" s="32" t="s">
        <v>10</v>
      </c>
      <c r="D21" s="27"/>
      <c r="E21" s="35"/>
      <c r="F21" s="73"/>
      <c r="G21" s="73"/>
      <c r="H21" s="73"/>
      <c r="I21" s="73"/>
      <c r="J21" s="65"/>
      <c r="K21" s="65"/>
      <c r="L21" s="61"/>
      <c r="M21" s="88"/>
      <c r="N21" s="88"/>
      <c r="O21" s="88"/>
      <c r="P21" s="88"/>
      <c r="Q21" s="65"/>
      <c r="R21" s="65"/>
      <c r="S21" s="61"/>
      <c r="T21" s="44"/>
      <c r="U21" s="45"/>
      <c r="V21" s="80"/>
    </row>
    <row r="22" spans="1:46" ht="14.4">
      <c r="A22" s="10"/>
      <c r="B22" s="13"/>
      <c r="C22" s="34"/>
      <c r="D22" s="27" t="s">
        <v>5</v>
      </c>
      <c r="E22" s="35"/>
      <c r="F22" s="75">
        <v>104</v>
      </c>
      <c r="G22" s="72">
        <v>94</v>
      </c>
      <c r="H22" s="72">
        <v>0</v>
      </c>
      <c r="I22" s="72">
        <v>121</v>
      </c>
      <c r="J22" s="65">
        <f t="shared" si="0"/>
        <v>0.1063829787234043</v>
      </c>
      <c r="K22" s="65" t="str">
        <f t="shared" ref="K22:K23" si="13">IFERROR(F22/H22-1,"n/a")</f>
        <v>n/a</v>
      </c>
      <c r="L22" s="61">
        <f t="shared" si="12"/>
        <v>-0.14049586776859502</v>
      </c>
      <c r="M22" s="69">
        <f>F22+'Oct-22'!M22</f>
        <v>1022</v>
      </c>
      <c r="N22" s="69">
        <f>G22+'Oct-22'!N22</f>
        <v>309</v>
      </c>
      <c r="O22" s="69">
        <f>H22+'Oct-22'!O22</f>
        <v>406</v>
      </c>
      <c r="P22" s="69">
        <f>I22+'Oct-22'!P22</f>
        <v>1074</v>
      </c>
      <c r="Q22" s="65">
        <f t="shared" ref="Q22:Q23" si="14">IFERROR(M22/N22-1,"n/a")</f>
        <v>2.3074433656957929</v>
      </c>
      <c r="R22" s="65">
        <f t="shared" ref="R22:R23" si="15">IFERROR(M22/O22-1,"n/a")</f>
        <v>1.5172413793103448</v>
      </c>
      <c r="S22" s="61">
        <f t="shared" ref="S22:S23" si="16">IFERROR(M22/P22-1,"n/a")</f>
        <v>-4.8417132216014847E-2</v>
      </c>
      <c r="T22" s="69">
        <v>411</v>
      </c>
      <c r="U22" s="71">
        <v>406</v>
      </c>
      <c r="V22" s="79">
        <v>1205</v>
      </c>
    </row>
    <row r="23" spans="1:46" ht="14.4">
      <c r="A23" s="10"/>
      <c r="B23" s="13"/>
      <c r="C23" s="34"/>
      <c r="D23" s="27" t="s">
        <v>11</v>
      </c>
      <c r="E23" s="33"/>
      <c r="F23" s="75">
        <v>345933</v>
      </c>
      <c r="G23" s="72">
        <v>162789</v>
      </c>
      <c r="H23" s="72">
        <v>0</v>
      </c>
      <c r="I23" s="72">
        <v>331420</v>
      </c>
      <c r="J23" s="65">
        <f t="shared" si="0"/>
        <v>1.1250391611226802</v>
      </c>
      <c r="K23" s="65" t="str">
        <f t="shared" si="13"/>
        <v>n/a</v>
      </c>
      <c r="L23" s="61">
        <f t="shared" si="12"/>
        <v>4.3790356647154693E-2</v>
      </c>
      <c r="M23" s="69">
        <f>F23+'Oct-22'!M23</f>
        <v>2803130</v>
      </c>
      <c r="N23" s="69">
        <f>G23+'Oct-22'!N23</f>
        <v>486999</v>
      </c>
      <c r="O23" s="69">
        <f>H23+'Oct-22'!O23</f>
        <v>833999</v>
      </c>
      <c r="P23" s="69">
        <f>I23+'Oct-22'!P23</f>
        <v>3472775</v>
      </c>
      <c r="Q23" s="65">
        <f t="shared" si="14"/>
        <v>4.7559255768492337</v>
      </c>
      <c r="R23" s="65">
        <f t="shared" si="15"/>
        <v>2.3610711763443359</v>
      </c>
      <c r="S23" s="61">
        <f t="shared" si="16"/>
        <v>-0.19282706193174048</v>
      </c>
      <c r="T23" s="69">
        <v>687449</v>
      </c>
      <c r="U23" s="71">
        <v>833999</v>
      </c>
      <c r="V23" s="79">
        <v>3859183</v>
      </c>
    </row>
    <row r="24" spans="1:46" ht="14.4">
      <c r="A24" s="10"/>
      <c r="B24" s="13"/>
      <c r="C24" s="32" t="s">
        <v>16</v>
      </c>
      <c r="D24" s="27"/>
      <c r="E24" s="33"/>
      <c r="F24" s="73"/>
      <c r="G24" s="73"/>
      <c r="H24" s="73"/>
      <c r="I24" s="73"/>
      <c r="J24" s="65"/>
      <c r="K24" s="65"/>
      <c r="L24" s="61"/>
      <c r="M24" s="88"/>
      <c r="N24" s="88"/>
      <c r="O24" s="88"/>
      <c r="P24" s="88"/>
      <c r="Q24" s="65"/>
      <c r="R24" s="65"/>
      <c r="S24" s="61"/>
      <c r="T24" s="44"/>
      <c r="U24" s="45"/>
      <c r="V24" s="80"/>
    </row>
    <row r="25" spans="1:46" ht="14.4">
      <c r="A25" s="10"/>
      <c r="B25" s="13"/>
      <c r="C25" s="34"/>
      <c r="D25" s="27" t="s">
        <v>5</v>
      </c>
      <c r="E25" s="33"/>
      <c r="F25" s="75">
        <v>11</v>
      </c>
      <c r="G25" s="72">
        <v>13</v>
      </c>
      <c r="H25" s="72">
        <v>5</v>
      </c>
      <c r="I25" s="72">
        <v>20</v>
      </c>
      <c r="J25" s="65">
        <f t="shared" si="0"/>
        <v>-0.15384615384615385</v>
      </c>
      <c r="K25" s="65">
        <f t="shared" ref="K25:K26" si="17">IFERROR(F25/H25-1,"n/a")</f>
        <v>1.2000000000000002</v>
      </c>
      <c r="L25" s="61">
        <f t="shared" si="12"/>
        <v>-0.44999999999999996</v>
      </c>
      <c r="M25" s="69">
        <f>F25+'Oct-22'!M25</f>
        <v>278</v>
      </c>
      <c r="N25" s="69">
        <f>G25+'Oct-22'!N25</f>
        <v>100</v>
      </c>
      <c r="O25" s="69">
        <f>H25+'Oct-22'!O25</f>
        <v>29</v>
      </c>
      <c r="P25" s="69">
        <f>I25+'Oct-22'!P25</f>
        <v>328</v>
      </c>
      <c r="Q25" s="65">
        <f t="shared" ref="Q25:Q26" si="18">IFERROR(M25/N25-1,"n/a")</f>
        <v>1.7799999999999998</v>
      </c>
      <c r="R25" s="65">
        <f t="shared" ref="R25:R26" si="19">IFERROR(M25/O25-1,"n/a")</f>
        <v>8.5862068965517242</v>
      </c>
      <c r="S25" s="61">
        <f t="shared" ref="S25:S26" si="20">IFERROR(M25/P25-1,"n/a")</f>
        <v>-0.15243902439024393</v>
      </c>
      <c r="T25" s="69">
        <v>107</v>
      </c>
      <c r="U25" s="71">
        <v>32</v>
      </c>
      <c r="V25" s="79">
        <v>372</v>
      </c>
    </row>
    <row r="26" spans="1:46" ht="14.4">
      <c r="A26" s="10"/>
      <c r="B26" s="13"/>
      <c r="C26" s="34"/>
      <c r="D26" s="27" t="s">
        <v>11</v>
      </c>
      <c r="E26" s="33"/>
      <c r="F26" s="75">
        <v>26816</v>
      </c>
      <c r="G26" s="72">
        <v>16166</v>
      </c>
      <c r="H26" s="72">
        <v>2473</v>
      </c>
      <c r="I26" s="72">
        <v>30720</v>
      </c>
      <c r="J26" s="65">
        <f t="shared" si="0"/>
        <v>0.65879005319806994</v>
      </c>
      <c r="K26" s="65">
        <f t="shared" si="17"/>
        <v>9.8435099069955516</v>
      </c>
      <c r="L26" s="61">
        <f t="shared" si="12"/>
        <v>-0.12708333333333333</v>
      </c>
      <c r="M26" s="69">
        <f>F26+'Oct-22'!M26</f>
        <v>510153</v>
      </c>
      <c r="N26" s="69">
        <f>G26+'Oct-22'!N26</f>
        <v>133384</v>
      </c>
      <c r="O26" s="69">
        <f>H26+'Oct-22'!O26</f>
        <v>58135</v>
      </c>
      <c r="P26" s="69">
        <f>I26+'Oct-22'!P26</f>
        <v>849404</v>
      </c>
      <c r="Q26" s="65">
        <f t="shared" si="18"/>
        <v>2.8246941162358303</v>
      </c>
      <c r="R26" s="65">
        <f t="shared" si="19"/>
        <v>7.7753160746538228</v>
      </c>
      <c r="S26" s="61">
        <f t="shared" si="20"/>
        <v>-0.39939887262127327</v>
      </c>
      <c r="T26" s="69">
        <v>147132</v>
      </c>
      <c r="U26" s="71">
        <v>59180</v>
      </c>
      <c r="V26" s="79">
        <v>902015</v>
      </c>
    </row>
    <row r="27" spans="1:46" ht="14.4">
      <c r="A27" s="10"/>
      <c r="B27" s="13"/>
      <c r="C27" s="32" t="s">
        <v>17</v>
      </c>
      <c r="D27" s="27"/>
      <c r="E27" s="33"/>
      <c r="F27" s="73"/>
      <c r="G27" s="73"/>
      <c r="H27" s="73"/>
      <c r="I27" s="73"/>
      <c r="J27" s="65"/>
      <c r="K27" s="65"/>
      <c r="L27" s="61"/>
      <c r="M27" s="88"/>
      <c r="N27" s="88"/>
      <c r="O27" s="88"/>
      <c r="P27" s="88"/>
      <c r="Q27" s="65"/>
      <c r="R27" s="65"/>
      <c r="S27" s="61"/>
      <c r="T27" s="44"/>
      <c r="U27" s="45"/>
      <c r="V27" s="80"/>
    </row>
    <row r="28" spans="1:46" ht="14.4">
      <c r="B28" s="13"/>
      <c r="C28" s="34"/>
      <c r="D28" s="27" t="s">
        <v>5</v>
      </c>
      <c r="E28" s="33"/>
      <c r="F28" s="75">
        <v>24</v>
      </c>
      <c r="G28" s="72">
        <v>20</v>
      </c>
      <c r="H28" s="72">
        <v>8</v>
      </c>
      <c r="I28" s="72">
        <v>17</v>
      </c>
      <c r="J28" s="65">
        <f t="shared" si="0"/>
        <v>0.19999999999999996</v>
      </c>
      <c r="K28" s="65">
        <f t="shared" ref="K28:K31" si="21">IFERROR(F28/H28-1,"n/a")</f>
        <v>2</v>
      </c>
      <c r="L28" s="61">
        <f t="shared" si="12"/>
        <v>0.41176470588235303</v>
      </c>
      <c r="M28" s="69">
        <f>F28+'Oct-22'!M28</f>
        <v>524</v>
      </c>
      <c r="N28" s="69">
        <f>G28+'Oct-22'!N28</f>
        <v>127</v>
      </c>
      <c r="O28" s="69">
        <f>H28+'Oct-22'!O28</f>
        <v>32</v>
      </c>
      <c r="P28" s="69">
        <f>I28+'Oct-22'!P28</f>
        <v>345</v>
      </c>
      <c r="Q28" s="65">
        <f t="shared" ref="Q28:Q31" si="22">IFERROR(M28/N28-1,"n/a")</f>
        <v>3.1259842519685037</v>
      </c>
      <c r="R28" s="65">
        <f t="shared" ref="R28:R31" si="23">IFERROR(M28/O28-1,"n/a")</f>
        <v>15.375</v>
      </c>
      <c r="S28" s="61">
        <f t="shared" ref="S28:S31" si="24">IFERROR(M28/P28-1,"n/a")</f>
        <v>0.51884057971014497</v>
      </c>
      <c r="T28" s="69">
        <v>124</v>
      </c>
      <c r="U28" s="71">
        <v>37</v>
      </c>
      <c r="V28" s="79">
        <f>282+81</f>
        <v>363</v>
      </c>
    </row>
    <row r="29" spans="1:46" ht="14.4">
      <c r="A29" s="10"/>
      <c r="B29" s="13"/>
      <c r="C29" s="34"/>
      <c r="D29" s="27" t="s">
        <v>11</v>
      </c>
      <c r="E29" s="33"/>
      <c r="F29" s="75">
        <f>33475+775</f>
        <v>34250</v>
      </c>
      <c r="G29" s="72">
        <v>14810</v>
      </c>
      <c r="H29" s="72">
        <v>2381</v>
      </c>
      <c r="I29" s="72">
        <v>16811</v>
      </c>
      <c r="J29" s="65">
        <f t="shared" si="0"/>
        <v>1.3126266036461849</v>
      </c>
      <c r="K29" s="65">
        <f t="shared" si="21"/>
        <v>13.384712305753885</v>
      </c>
      <c r="L29" s="61">
        <f t="shared" si="12"/>
        <v>1.0373564927725893</v>
      </c>
      <c r="M29" s="69">
        <f>F29+'Oct-22'!M29</f>
        <v>849961</v>
      </c>
      <c r="N29" s="69">
        <f>G29+'Oct-22'!N29</f>
        <v>165083</v>
      </c>
      <c r="O29" s="69">
        <f>H29+'Oct-22'!O29</f>
        <v>18693</v>
      </c>
      <c r="P29" s="69">
        <f>I29+'Oct-22'!P29</f>
        <v>856498</v>
      </c>
      <c r="Q29" s="65">
        <f t="shared" si="22"/>
        <v>4.1486888413707046</v>
      </c>
      <c r="R29" s="65">
        <f t="shared" si="23"/>
        <v>44.469480554218158</v>
      </c>
      <c r="S29" s="61">
        <f t="shared" si="24"/>
        <v>-7.632241990057187E-3</v>
      </c>
      <c r="T29" s="69">
        <v>165083</v>
      </c>
      <c r="U29" s="71">
        <f>20768+8294</f>
        <v>29062</v>
      </c>
      <c r="V29" s="79">
        <f>659951+168729+38484</f>
        <v>867164</v>
      </c>
    </row>
    <row r="30" spans="1:46" ht="15" customHeight="1" thickBot="1">
      <c r="A30" s="10"/>
      <c r="B30" s="13"/>
      <c r="C30" s="36" t="s">
        <v>12</v>
      </c>
      <c r="D30" s="37"/>
      <c r="E30" s="38"/>
      <c r="F30" s="76">
        <f t="shared" ref="F30:I31" si="25">F13+F16+F19+F22+F25+F28</f>
        <v>302</v>
      </c>
      <c r="G30" s="76">
        <f>G13+G16+G19+G22+G25+G28</f>
        <v>224</v>
      </c>
      <c r="H30" s="76">
        <f t="shared" si="25"/>
        <v>13</v>
      </c>
      <c r="I30" s="76">
        <f t="shared" si="25"/>
        <v>314</v>
      </c>
      <c r="J30" s="67">
        <f t="shared" si="0"/>
        <v>0.34821428571428581</v>
      </c>
      <c r="K30" s="67">
        <f t="shared" si="21"/>
        <v>22.23076923076923</v>
      </c>
      <c r="L30" s="63">
        <f t="shared" si="12"/>
        <v>-3.8216560509554132E-2</v>
      </c>
      <c r="M30" s="47">
        <f t="shared" ref="M30:P31" si="26">M13+M16+M19+M22+M25+M28</f>
        <v>3310</v>
      </c>
      <c r="N30" s="47">
        <f t="shared" si="26"/>
        <v>855</v>
      </c>
      <c r="O30" s="47">
        <f t="shared" si="26"/>
        <v>659</v>
      </c>
      <c r="P30" s="47">
        <f t="shared" si="26"/>
        <v>3053</v>
      </c>
      <c r="Q30" s="67">
        <f t="shared" si="22"/>
        <v>2.871345029239766</v>
      </c>
      <c r="R30" s="67">
        <f t="shared" si="23"/>
        <v>4.0227617602427923</v>
      </c>
      <c r="S30" s="63">
        <f t="shared" si="24"/>
        <v>8.4179495578119878E-2</v>
      </c>
      <c r="T30" s="47">
        <f t="shared" ref="T30:V31" si="27">T13+T16+T19+T22+T25+T28</f>
        <v>1059</v>
      </c>
      <c r="U30" s="47">
        <f t="shared" si="27"/>
        <v>667</v>
      </c>
      <c r="V30" s="81">
        <f t="shared" si="27"/>
        <v>3344</v>
      </c>
    </row>
    <row r="31" spans="1:46" s="23" customFormat="1" ht="15" customHeight="1" thickTop="1" thickBot="1">
      <c r="A31" s="10"/>
      <c r="B31" s="13"/>
      <c r="C31" s="39" t="s">
        <v>13</v>
      </c>
      <c r="D31" s="40"/>
      <c r="E31" s="41"/>
      <c r="F31" s="77">
        <f t="shared" si="25"/>
        <v>675826</v>
      </c>
      <c r="G31" s="77">
        <f t="shared" si="25"/>
        <v>304659</v>
      </c>
      <c r="H31" s="77">
        <f t="shared" si="25"/>
        <v>4854</v>
      </c>
      <c r="I31" s="77">
        <f t="shared" si="25"/>
        <v>745517</v>
      </c>
      <c r="J31" s="68">
        <f t="shared" si="0"/>
        <v>1.2183030864015176</v>
      </c>
      <c r="K31" s="68">
        <f t="shared" si="21"/>
        <v>138.23073753605274</v>
      </c>
      <c r="L31" s="64">
        <f t="shared" si="12"/>
        <v>-9.3480095021307386E-2</v>
      </c>
      <c r="M31" s="48">
        <f t="shared" si="26"/>
        <v>6743357</v>
      </c>
      <c r="N31" s="48">
        <f t="shared" si="26"/>
        <v>1247204</v>
      </c>
      <c r="O31" s="48">
        <f t="shared" si="26"/>
        <v>1312017</v>
      </c>
      <c r="P31" s="48">
        <f t="shared" si="26"/>
        <v>8530365</v>
      </c>
      <c r="Q31" s="68">
        <f t="shared" si="22"/>
        <v>4.4067794843505954</v>
      </c>
      <c r="R31" s="68">
        <f t="shared" si="23"/>
        <v>4.139687214418716</v>
      </c>
      <c r="S31" s="64">
        <f t="shared" si="24"/>
        <v>-0.2094878706831419</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spans="2:46" s="10" customFormat="1" ht="22.95" customHeight="1">
      <c r="F33" s="42"/>
      <c r="G33" s="42"/>
      <c r="H33" s="42"/>
      <c r="I33" s="42"/>
      <c r="J33" s="42"/>
      <c r="K33" s="42"/>
      <c r="AM33"/>
      <c r="AN33"/>
      <c r="AO33"/>
      <c r="AP33"/>
      <c r="AQ33"/>
      <c r="AR33"/>
      <c r="AS33"/>
      <c r="AT33"/>
    </row>
    <row r="34" spans="2:46" s="10" customFormat="1" ht="14.4">
      <c r="B34" s="11"/>
      <c r="C34" s="87" t="s">
        <v>63</v>
      </c>
      <c r="D34" s="25"/>
      <c r="E34" s="25"/>
      <c r="F34" s="25"/>
      <c r="G34" s="25"/>
      <c r="H34" s="25"/>
      <c r="I34" s="101"/>
      <c r="J34" s="101"/>
      <c r="K34" s="101"/>
      <c r="L34" s="25"/>
      <c r="M34" s="25"/>
      <c r="N34" s="25"/>
      <c r="O34" s="25"/>
      <c r="P34" s="25"/>
      <c r="Q34" s="25"/>
      <c r="R34" s="25"/>
      <c r="S34" s="25"/>
      <c r="T34" s="25"/>
      <c r="U34" s="25"/>
      <c r="V34" s="25"/>
      <c r="AM34"/>
      <c r="AN34"/>
      <c r="AO34"/>
      <c r="AP34"/>
      <c r="AQ34"/>
      <c r="AR34"/>
      <c r="AS34"/>
      <c r="AT34"/>
    </row>
    <row r="35" spans="2:46" s="10" customFormat="1" ht="14.4">
      <c r="B35" s="11"/>
      <c r="C35" s="25"/>
      <c r="D35" s="25"/>
      <c r="E35" s="25"/>
      <c r="F35" s="25"/>
      <c r="G35" s="25"/>
      <c r="H35" s="25"/>
      <c r="I35" s="101"/>
      <c r="J35" s="101"/>
      <c r="K35" s="101"/>
      <c r="L35" s="25"/>
      <c r="M35" s="25"/>
      <c r="N35" s="25"/>
      <c r="O35" s="25"/>
      <c r="P35" s="25"/>
      <c r="Q35" s="25"/>
      <c r="R35" s="25"/>
      <c r="S35" s="25"/>
      <c r="T35" s="25"/>
      <c r="U35" s="25"/>
      <c r="V35" s="25"/>
      <c r="AM35"/>
      <c r="AN35"/>
      <c r="AO35"/>
      <c r="AP35"/>
      <c r="AQ35"/>
      <c r="AR35"/>
      <c r="AS35"/>
      <c r="AT35"/>
    </row>
    <row r="36" spans="2:46" s="10" customFormat="1" ht="15" customHeight="1">
      <c r="C36" s="28" t="s">
        <v>7</v>
      </c>
      <c r="D36" s="29"/>
      <c r="E36" s="29"/>
      <c r="F36" s="102" t="str">
        <f>F9</f>
        <v>November</v>
      </c>
      <c r="G36" s="102"/>
      <c r="H36" s="102"/>
      <c r="I36" s="102"/>
      <c r="J36" s="102"/>
      <c r="K36" s="102"/>
      <c r="L36" s="103"/>
      <c r="M36" s="104" t="s">
        <v>96</v>
      </c>
      <c r="N36" s="102"/>
      <c r="O36" s="102"/>
      <c r="P36" s="102"/>
      <c r="Q36" s="102"/>
      <c r="R36" s="102"/>
      <c r="S36" s="103"/>
      <c r="T36" s="104" t="s">
        <v>58</v>
      </c>
      <c r="U36" s="102"/>
      <c r="V36" s="105"/>
      <c r="AM36"/>
      <c r="AN36"/>
      <c r="AO36"/>
      <c r="AP36"/>
      <c r="AQ36"/>
      <c r="AR36"/>
      <c r="AS36"/>
      <c r="AT36"/>
    </row>
    <row r="37" spans="2:46" s="10" customFormat="1" ht="15" customHeight="1">
      <c r="C37" s="30"/>
      <c r="D37" s="31"/>
      <c r="E37" s="31"/>
      <c r="F37" s="30"/>
      <c r="G37" s="31"/>
      <c r="H37" s="31"/>
      <c r="I37" s="31"/>
      <c r="J37" s="31"/>
      <c r="K37" s="31"/>
      <c r="L37" s="57"/>
      <c r="M37" s="31"/>
      <c r="N37" s="31"/>
      <c r="O37" s="31"/>
      <c r="P37" s="31"/>
      <c r="Q37" s="31"/>
      <c r="R37" s="31"/>
      <c r="S37" s="57"/>
      <c r="T37" s="31"/>
      <c r="U37" s="31"/>
      <c r="V37" s="57"/>
      <c r="AM37"/>
      <c r="AN37"/>
      <c r="AO37"/>
      <c r="AP37"/>
      <c r="AQ37"/>
      <c r="AR37"/>
      <c r="AS37"/>
      <c r="AT37"/>
    </row>
    <row r="38" spans="2:46"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2:46" s="10" customFormat="1" ht="15" customHeight="1">
      <c r="C39" s="32" t="s">
        <v>14</v>
      </c>
      <c r="D39" s="27"/>
      <c r="E39" s="33"/>
      <c r="F39" s="27"/>
      <c r="G39" s="27"/>
      <c r="H39" s="27"/>
      <c r="I39" s="27"/>
      <c r="J39" s="27"/>
      <c r="K39" s="27"/>
      <c r="L39" s="33"/>
      <c r="M39" s="27"/>
      <c r="N39" s="27"/>
      <c r="O39" s="27"/>
      <c r="Q39" s="27"/>
      <c r="R39" s="27"/>
      <c r="S39" s="33"/>
      <c r="T39" s="34"/>
      <c r="U39" s="89"/>
      <c r="V39" s="86"/>
    </row>
    <row r="40" spans="2:46" s="10" customFormat="1" ht="15" customHeight="1">
      <c r="C40" s="34"/>
      <c r="D40" s="27" t="s">
        <v>5</v>
      </c>
      <c r="E40" s="33"/>
      <c r="F40" s="75">
        <f t="shared" ref="F40:I41" si="28">F13</f>
        <v>40</v>
      </c>
      <c r="G40" s="75">
        <f t="shared" si="28"/>
        <v>21</v>
      </c>
      <c r="H40" s="75">
        <f t="shared" si="28"/>
        <v>0</v>
      </c>
      <c r="I40" s="75">
        <f t="shared" si="28"/>
        <v>51</v>
      </c>
      <c r="J40" s="65">
        <f t="shared" ref="J40:J41" si="29">IFERROR(F40/G40-1,"n/a")</f>
        <v>0.90476190476190466</v>
      </c>
      <c r="K40" s="65" t="str">
        <f>IFERROR(F40/H40-1,"n/a")</f>
        <v>n/a</v>
      </c>
      <c r="L40" s="61">
        <f t="shared" ref="L40:L41" si="30">IFERROR(F40/I40-1,"n/a")</f>
        <v>-0.21568627450980393</v>
      </c>
      <c r="M40" s="71">
        <f>+M13-'Mar-22'!M10</f>
        <v>76</v>
      </c>
      <c r="N40" s="71">
        <f>+N13-'Mar-22'!N10</f>
        <v>41</v>
      </c>
      <c r="O40" s="83">
        <f>+O13-'Mar-22'!O10</f>
        <v>0</v>
      </c>
      <c r="P40" s="71">
        <f>+P13-'Mar-22'!P10</f>
        <v>117</v>
      </c>
      <c r="Q40" s="65">
        <f>IFERROR(M40/N40-1,"n/a")</f>
        <v>0.85365853658536595</v>
      </c>
      <c r="R40" s="65" t="str">
        <f>IFERROR(M40/O40-1,"n/a")</f>
        <v>n/a</v>
      </c>
      <c r="S40" s="61">
        <f>IFERROR(M40/P40-1,"n/a")</f>
        <v>-0.3504273504273504</v>
      </c>
      <c r="T40" s="90">
        <v>308</v>
      </c>
      <c r="U40" s="71">
        <v>145</v>
      </c>
      <c r="V40" s="79">
        <v>331</v>
      </c>
    </row>
    <row r="41" spans="2:46" s="10" customFormat="1" ht="15" customHeight="1">
      <c r="C41" s="34"/>
      <c r="D41" s="27" t="s">
        <v>11</v>
      </c>
      <c r="E41" s="33"/>
      <c r="F41" s="75">
        <f t="shared" si="28"/>
        <v>62272</v>
      </c>
      <c r="G41" s="75">
        <f t="shared" si="28"/>
        <v>23175</v>
      </c>
      <c r="H41" s="75">
        <f t="shared" si="28"/>
        <v>0</v>
      </c>
      <c r="I41" s="75">
        <f t="shared" si="28"/>
        <v>89764</v>
      </c>
      <c r="J41" s="65">
        <f t="shared" si="29"/>
        <v>1.6870334412081984</v>
      </c>
      <c r="K41" s="65" t="str">
        <f t="shared" ref="K41" si="31">IFERROR(F41/H41-1,"n/a")</f>
        <v>n/a</v>
      </c>
      <c r="L41" s="61">
        <f t="shared" si="30"/>
        <v>-0.30626977407423916</v>
      </c>
      <c r="M41" s="83">
        <f>+M14-'Mar-22'!M11</f>
        <v>112636</v>
      </c>
      <c r="N41" s="83">
        <f>+N14-'Mar-22'!N11</f>
        <v>28096</v>
      </c>
      <c r="O41" s="83">
        <f>+O14-'Mar-22'!O11</f>
        <v>0</v>
      </c>
      <c r="P41" s="83">
        <f>+P14-'Mar-22'!P11</f>
        <v>227713</v>
      </c>
      <c r="Q41" s="65">
        <f>IFERROR(M41/N41-1,"n/a")</f>
        <v>3.0089692482915718</v>
      </c>
      <c r="R41" s="65" t="str">
        <f>IFERROR(M41/O41-1,"n/a")</f>
        <v>n/a</v>
      </c>
      <c r="S41" s="61">
        <f>IFERROR(M41/P41-1,"n/a")</f>
        <v>-0.50535981696258014</v>
      </c>
      <c r="T41" s="90">
        <v>237191</v>
      </c>
      <c r="U41" s="85">
        <v>258885</v>
      </c>
      <c r="V41" s="79">
        <v>606801</v>
      </c>
    </row>
    <row r="42" spans="2:46"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2:46" s="10" customFormat="1" ht="15" customHeight="1">
      <c r="C43" s="34"/>
      <c r="D43" s="27" t="s">
        <v>5</v>
      </c>
      <c r="E43" s="33"/>
      <c r="F43" s="75">
        <f t="shared" ref="F43:I44" si="32">F16</f>
        <v>91</v>
      </c>
      <c r="G43" s="75">
        <f t="shared" si="32"/>
        <v>67</v>
      </c>
      <c r="H43" s="75">
        <f t="shared" si="32"/>
        <v>0</v>
      </c>
      <c r="I43" s="75">
        <f t="shared" si="32"/>
        <v>95</v>
      </c>
      <c r="J43" s="65">
        <f t="shared" ref="J43:J44" si="33">IFERROR(F43/G43-1,"n/a")</f>
        <v>0.35820895522388052</v>
      </c>
      <c r="K43" s="65" t="str">
        <f t="shared" ref="K43:K44" si="34">IFERROR(F43/H43-1,"n/a")</f>
        <v>n/a</v>
      </c>
      <c r="L43" s="61">
        <f t="shared" ref="L43:L44" si="35">IFERROR(F43/I43-1,"n/a")</f>
        <v>-4.2105263157894757E-2</v>
      </c>
      <c r="M43" s="71">
        <f>+M16-'Mar-22'!M13</f>
        <v>694</v>
      </c>
      <c r="N43" s="71">
        <f>+N16-'Mar-22'!N13</f>
        <v>258</v>
      </c>
      <c r="O43" s="83">
        <f>+O16-'Mar-22'!O13</f>
        <v>0</v>
      </c>
      <c r="P43" s="71">
        <f>+P16-'Mar-22'!P13</f>
        <v>718</v>
      </c>
      <c r="Q43" s="65">
        <f>IFERROR(M43/N43-1,"n/a")</f>
        <v>1.6899224806201549</v>
      </c>
      <c r="R43" s="65" t="str">
        <f>IFERROR(M43/O43-1,"n/a")</f>
        <v>n/a</v>
      </c>
      <c r="S43" s="61">
        <f t="shared" ref="S43:S44" si="36">IFERROR(M43/P43-1,"n/a")</f>
        <v>-3.3426183844011192E-2</v>
      </c>
      <c r="T43" s="90">
        <v>336</v>
      </c>
      <c r="U43" s="71">
        <v>43</v>
      </c>
      <c r="V43" s="79">
        <v>781</v>
      </c>
    </row>
    <row r="44" spans="2:46" s="10" customFormat="1" ht="15" customHeight="1">
      <c r="C44" s="34"/>
      <c r="D44" s="27" t="s">
        <v>11</v>
      </c>
      <c r="E44" s="33"/>
      <c r="F44" s="75">
        <f t="shared" si="32"/>
        <v>175248</v>
      </c>
      <c r="G44" s="75">
        <f t="shared" si="32"/>
        <v>83507</v>
      </c>
      <c r="H44" s="75">
        <f t="shared" si="32"/>
        <v>0</v>
      </c>
      <c r="I44" s="75">
        <f t="shared" si="32"/>
        <v>263747</v>
      </c>
      <c r="J44" s="65">
        <f t="shared" si="33"/>
        <v>1.0986025123642329</v>
      </c>
      <c r="K44" s="65" t="str">
        <f t="shared" si="34"/>
        <v>n/a</v>
      </c>
      <c r="L44" s="61">
        <f t="shared" si="35"/>
        <v>-0.33554504885363623</v>
      </c>
      <c r="M44" s="83">
        <f>+M17-'Mar-22'!M14</f>
        <v>1686780</v>
      </c>
      <c r="N44" s="83">
        <f>+N17-'Mar-22'!N14</f>
        <v>425895</v>
      </c>
      <c r="O44" s="83">
        <f>+O17-'Mar-22'!O14</f>
        <v>0</v>
      </c>
      <c r="P44" s="83">
        <f>+P17-'Mar-22'!P14</f>
        <v>2242099</v>
      </c>
      <c r="Q44" s="65">
        <f>IFERROR(M44/N44-1,"n/a")</f>
        <v>2.9605536575916598</v>
      </c>
      <c r="R44" s="65" t="str">
        <f>IFERROR(M44/O44-1,"n/a")</f>
        <v>n/a</v>
      </c>
      <c r="S44" s="61">
        <f t="shared" si="36"/>
        <v>-0.24767818013388343</v>
      </c>
      <c r="T44" s="90">
        <v>533563</v>
      </c>
      <c r="U44" s="85">
        <v>140552</v>
      </c>
      <c r="V44" s="79">
        <v>2441594</v>
      </c>
    </row>
    <row r="45" spans="2:46"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2:46" s="10" customFormat="1" ht="15" customHeight="1">
      <c r="C46" s="34"/>
      <c r="D46" s="27" t="s">
        <v>5</v>
      </c>
      <c r="E46" s="33"/>
      <c r="F46" s="75">
        <f t="shared" ref="F46:I47" si="37">F19</f>
        <v>32</v>
      </c>
      <c r="G46" s="75">
        <f t="shared" si="37"/>
        <v>9</v>
      </c>
      <c r="H46" s="75">
        <f t="shared" si="37"/>
        <v>0</v>
      </c>
      <c r="I46" s="75">
        <f t="shared" si="37"/>
        <v>10</v>
      </c>
      <c r="J46" s="65">
        <f t="shared" ref="J46:J47" si="38">IFERROR(F46/G46-1,"n/a")</f>
        <v>2.5555555555555554</v>
      </c>
      <c r="K46" s="65" t="str">
        <f t="shared" ref="K46:K47" si="39">IFERROR(F46/H46-1,"n/a")</f>
        <v>n/a</v>
      </c>
      <c r="L46" s="61">
        <f>IFERROR(F46/I46-1,"n/a")</f>
        <v>2.2000000000000002</v>
      </c>
      <c r="M46" s="71">
        <f>+M19-'Mar-22'!M16</f>
        <v>456</v>
      </c>
      <c r="N46" s="83">
        <f>+N19-'Mar-22'!N16</f>
        <v>20</v>
      </c>
      <c r="O46" s="83">
        <f>+O19-'Mar-22'!O16</f>
        <v>1</v>
      </c>
      <c r="P46" s="83">
        <f>+P19-'Mar-22'!P16</f>
        <v>176</v>
      </c>
      <c r="Q46" s="65">
        <f>IFERROR(M46/N46-1,"n/a")</f>
        <v>21.8</v>
      </c>
      <c r="R46" s="65">
        <f>IFERROR(M46/O46-1,"n/a")</f>
        <v>455</v>
      </c>
      <c r="S46" s="61">
        <f t="shared" ref="S46:S47" si="40">IFERROR(M46/P46-1,"n/a")</f>
        <v>1.5909090909090908</v>
      </c>
      <c r="T46" s="90">
        <v>33</v>
      </c>
      <c r="U46" s="71">
        <v>4</v>
      </c>
      <c r="V46" s="79">
        <v>188</v>
      </c>
    </row>
    <row r="47" spans="2:46" s="10" customFormat="1" ht="15" customHeight="1">
      <c r="C47" s="34"/>
      <c r="D47" s="27" t="s">
        <v>11</v>
      </c>
      <c r="E47" s="33"/>
      <c r="F47" s="75">
        <f t="shared" si="37"/>
        <v>31307</v>
      </c>
      <c r="G47" s="75">
        <f t="shared" si="37"/>
        <v>4212</v>
      </c>
      <c r="H47" s="75">
        <f t="shared" si="37"/>
        <v>0</v>
      </c>
      <c r="I47" s="75">
        <f t="shared" si="37"/>
        <v>13055</v>
      </c>
      <c r="J47" s="65">
        <f t="shared" si="38"/>
        <v>6.4328110161443499</v>
      </c>
      <c r="K47" s="65" t="str">
        <f t="shared" si="39"/>
        <v>n/a</v>
      </c>
      <c r="L47" s="61">
        <f t="shared" ref="L47" si="41">IFERROR(F47/I47-1,"n/a")</f>
        <v>1.3980850248946766</v>
      </c>
      <c r="M47" s="83">
        <f>+M20-'Mar-22'!M17</f>
        <v>554443</v>
      </c>
      <c r="N47" s="83">
        <f>+N20-'Mar-22'!N17</f>
        <v>7747</v>
      </c>
      <c r="O47" s="83">
        <f>+O20-'Mar-22'!O17</f>
        <v>111</v>
      </c>
      <c r="P47" s="83">
        <f>+P20-'Mar-22'!P17</f>
        <v>239458</v>
      </c>
      <c r="Q47" s="65">
        <f>IFERROR(M47/N47-1,"n/a")</f>
        <v>70.568736285013557</v>
      </c>
      <c r="R47" s="65">
        <f>IFERROR(M47/O47-1,"n/a")</f>
        <v>4993.9819819819822</v>
      </c>
      <c r="S47" s="61">
        <f t="shared" si="40"/>
        <v>1.3154081300269778</v>
      </c>
      <c r="T47" s="83">
        <v>10083</v>
      </c>
      <c r="U47" s="85">
        <v>1753</v>
      </c>
      <c r="V47" s="79">
        <f>176097+74816</f>
        <v>250913</v>
      </c>
    </row>
    <row r="48" spans="2:46"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1:46" s="10" customFormat="1" ht="15" customHeight="1">
      <c r="C49" s="34"/>
      <c r="D49" s="27" t="s">
        <v>5</v>
      </c>
      <c r="E49" s="35"/>
      <c r="F49" s="75">
        <f t="shared" ref="F49:I50" si="42">F22</f>
        <v>104</v>
      </c>
      <c r="G49" s="75">
        <f t="shared" si="42"/>
        <v>94</v>
      </c>
      <c r="H49" s="75">
        <f t="shared" si="42"/>
        <v>0</v>
      </c>
      <c r="I49" s="75">
        <f t="shared" si="42"/>
        <v>121</v>
      </c>
      <c r="J49" s="65">
        <f t="shared" ref="J49:J50" si="43">IFERROR(F49/G49-1,"n/a")</f>
        <v>0.1063829787234043</v>
      </c>
      <c r="K49" s="65" t="str">
        <f t="shared" ref="K49:K50" si="44">IFERROR(F49/H49-1,"n/a")</f>
        <v>n/a</v>
      </c>
      <c r="L49" s="61">
        <f t="shared" ref="L49:L50" si="45">IFERROR(F49/I49-1,"n/a")</f>
        <v>-0.14049586776859502</v>
      </c>
      <c r="M49" s="71">
        <f>+M22-'Mar-22'!M19</f>
        <v>689</v>
      </c>
      <c r="N49" s="71">
        <f>+N22-'Mar-22'!N19</f>
        <v>309</v>
      </c>
      <c r="O49" s="71">
        <f>+O22-'Mar-22'!O19</f>
        <v>42</v>
      </c>
      <c r="P49" s="71">
        <f>+P22-'Mar-22'!P19</f>
        <v>758</v>
      </c>
      <c r="Q49" s="65">
        <f>IFERROR(M49/N49-1,"n/a")</f>
        <v>1.2297734627831716</v>
      </c>
      <c r="R49" s="65">
        <f>IFERROR(M49/O49-1,"n/a")</f>
        <v>15.404761904761905</v>
      </c>
      <c r="S49" s="61">
        <f>IFERROR(M49/P49-1,"n/a")</f>
        <v>-9.1029023746701854E-2</v>
      </c>
      <c r="T49" s="90">
        <v>744</v>
      </c>
      <c r="U49" s="85">
        <v>406</v>
      </c>
      <c r="V49" s="79">
        <v>1253</v>
      </c>
    </row>
    <row r="50" spans="1:46" s="10" customFormat="1" ht="15" customHeight="1">
      <c r="C50" s="34"/>
      <c r="D50" s="27" t="s">
        <v>11</v>
      </c>
      <c r="E50" s="33"/>
      <c r="F50" s="75">
        <f t="shared" si="42"/>
        <v>345933</v>
      </c>
      <c r="G50" s="75">
        <f t="shared" si="42"/>
        <v>162789</v>
      </c>
      <c r="H50" s="75">
        <f t="shared" si="42"/>
        <v>0</v>
      </c>
      <c r="I50" s="75">
        <f t="shared" si="42"/>
        <v>331420</v>
      </c>
      <c r="J50" s="65">
        <f t="shared" si="43"/>
        <v>1.1250391611226802</v>
      </c>
      <c r="K50" s="65" t="str">
        <f t="shared" si="44"/>
        <v>n/a</v>
      </c>
      <c r="L50" s="61">
        <f t="shared" si="45"/>
        <v>4.3790356647154693E-2</v>
      </c>
      <c r="M50" s="83">
        <f>+M23-'Mar-22'!M20</f>
        <v>2199800</v>
      </c>
      <c r="N50" s="83">
        <f>+N23-'Mar-22'!N20</f>
        <v>486999</v>
      </c>
      <c r="O50" s="83">
        <f>+O23-'Mar-22'!O20</f>
        <v>0</v>
      </c>
      <c r="P50" s="83">
        <f>+P23-'Mar-22'!P20</f>
        <v>2407051</v>
      </c>
      <c r="Q50" s="65">
        <f>IFERROR(M50/N50-1,"n/a")</f>
        <v>3.5170523964114917</v>
      </c>
      <c r="R50" s="65" t="str">
        <f>IFERROR(M50/O50-1,"n/a")</f>
        <v>n/a</v>
      </c>
      <c r="S50" s="61">
        <f t="shared" ref="S50" si="46">IFERROR(M50/P50-1,"n/a")</f>
        <v>-8.6101623937340777E-2</v>
      </c>
      <c r="T50" s="83">
        <v>1290779</v>
      </c>
      <c r="U50" s="85">
        <v>833999</v>
      </c>
      <c r="V50" s="79">
        <v>3627458</v>
      </c>
    </row>
    <row r="51" spans="1:46"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1:46" s="10" customFormat="1" ht="15" customHeight="1">
      <c r="C52" s="34"/>
      <c r="D52" s="27" t="s">
        <v>5</v>
      </c>
      <c r="E52" s="33"/>
      <c r="F52" s="75">
        <f t="shared" ref="F52:I53" si="47">F25</f>
        <v>11</v>
      </c>
      <c r="G52" s="75">
        <f t="shared" si="47"/>
        <v>13</v>
      </c>
      <c r="H52" s="75">
        <f t="shared" si="47"/>
        <v>5</v>
      </c>
      <c r="I52" s="75">
        <f t="shared" si="47"/>
        <v>20</v>
      </c>
      <c r="J52" s="65">
        <f t="shared" ref="J52:J53" si="48">IFERROR(F52/G52-1,"n/a")</f>
        <v>-0.15384615384615385</v>
      </c>
      <c r="K52" s="65">
        <f t="shared" ref="K52:K53" si="49">IFERROR(F52/H52-1,"n/a")</f>
        <v>1.2000000000000002</v>
      </c>
      <c r="L52" s="61">
        <f t="shared" ref="L52:L53" si="50">IFERROR(F52/I52-1,"n/a")</f>
        <v>-0.44999999999999996</v>
      </c>
      <c r="M52" s="71">
        <f>+M25-'Mar-22'!M22</f>
        <v>255</v>
      </c>
      <c r="N52" s="71">
        <f>+N25-'Mar-22'!N22</f>
        <v>91</v>
      </c>
      <c r="O52" s="83">
        <f>+O25-'Mar-22'!O22</f>
        <v>20</v>
      </c>
      <c r="P52" s="71">
        <f>+P25-'Mar-22'!P22</f>
        <v>308</v>
      </c>
      <c r="Q52" s="65">
        <f>IFERROR(M52/N52-1,"n/a")</f>
        <v>1.802197802197802</v>
      </c>
      <c r="R52" s="65">
        <f>IFERROR(M52/O52-1,"n/a")</f>
        <v>11.75</v>
      </c>
      <c r="S52" s="61">
        <f t="shared" ref="S52:S53" si="51">IFERROR(M52/P52-1,"n/a")</f>
        <v>-0.17207792207792205</v>
      </c>
      <c r="T52" s="90">
        <v>121</v>
      </c>
      <c r="U52" s="71">
        <v>41</v>
      </c>
      <c r="V52" s="79">
        <v>361</v>
      </c>
    </row>
    <row r="53" spans="1:46" s="10" customFormat="1" ht="15" customHeight="1">
      <c r="C53" s="34"/>
      <c r="D53" s="27" t="s">
        <v>11</v>
      </c>
      <c r="E53" s="33"/>
      <c r="F53" s="75">
        <f t="shared" si="47"/>
        <v>26816</v>
      </c>
      <c r="G53" s="75">
        <f t="shared" si="47"/>
        <v>16166</v>
      </c>
      <c r="H53" s="75">
        <f t="shared" si="47"/>
        <v>2473</v>
      </c>
      <c r="I53" s="75">
        <f t="shared" si="47"/>
        <v>30720</v>
      </c>
      <c r="J53" s="65">
        <f t="shared" si="48"/>
        <v>0.65879005319806994</v>
      </c>
      <c r="K53" s="65">
        <f t="shared" si="49"/>
        <v>9.8435099069955516</v>
      </c>
      <c r="L53" s="61">
        <f t="shared" si="50"/>
        <v>-0.12708333333333333</v>
      </c>
      <c r="M53" s="83">
        <f>+M26-'Mar-22'!M23</f>
        <v>483632</v>
      </c>
      <c r="N53" s="83">
        <f>+N26-'Mar-22'!N23</f>
        <v>125420</v>
      </c>
      <c r="O53" s="83">
        <f>+O26-'Mar-22'!O23</f>
        <v>17914</v>
      </c>
      <c r="P53" s="83">
        <f>+P26-'Mar-22'!P23</f>
        <v>773129</v>
      </c>
      <c r="Q53" s="65">
        <f>IFERROR(M53/N53-1,"n/a")</f>
        <v>2.8560995056609793</v>
      </c>
      <c r="R53" s="65">
        <f>IFERROR(M53/O53-1,"n/a")</f>
        <v>25.997432175951769</v>
      </c>
      <c r="S53" s="61">
        <f t="shared" si="51"/>
        <v>-0.37444850729955803</v>
      </c>
      <c r="T53" s="83">
        <v>165689</v>
      </c>
      <c r="U53" s="85">
        <v>67144</v>
      </c>
      <c r="V53" s="79">
        <v>865961</v>
      </c>
    </row>
    <row r="54" spans="1:46" s="10" customFormat="1" ht="15" customHeight="1">
      <c r="A54"/>
      <c r="B54"/>
      <c r="C54" s="32" t="s">
        <v>17</v>
      </c>
      <c r="D54" s="27"/>
      <c r="E54" s="33"/>
      <c r="F54" s="73"/>
      <c r="G54" s="73"/>
      <c r="H54" s="73"/>
      <c r="I54" s="73"/>
      <c r="J54" s="65"/>
      <c r="K54" s="65"/>
      <c r="L54" s="61"/>
      <c r="M54" s="88"/>
      <c r="N54" s="88"/>
      <c r="O54" s="88"/>
      <c r="P54" s="88"/>
      <c r="Q54" s="65"/>
      <c r="R54" s="65"/>
      <c r="S54" s="61"/>
      <c r="T54" s="91"/>
      <c r="U54" s="45"/>
      <c r="V54" s="80"/>
      <c r="AM54"/>
      <c r="AN54"/>
      <c r="AO54"/>
      <c r="AP54"/>
      <c r="AQ54"/>
      <c r="AR54"/>
      <c r="AS54"/>
      <c r="AT54"/>
    </row>
    <row r="55" spans="1:46" s="10" customFormat="1" ht="15.45" customHeight="1">
      <c r="A55"/>
      <c r="B55"/>
      <c r="C55" s="34"/>
      <c r="D55" s="27" t="s">
        <v>5</v>
      </c>
      <c r="E55" s="33"/>
      <c r="F55" s="75">
        <f t="shared" ref="F55:I56" si="52">F28</f>
        <v>24</v>
      </c>
      <c r="G55" s="75">
        <f t="shared" si="52"/>
        <v>20</v>
      </c>
      <c r="H55" s="75">
        <f t="shared" si="52"/>
        <v>8</v>
      </c>
      <c r="I55" s="75">
        <f t="shared" si="52"/>
        <v>17</v>
      </c>
      <c r="J55" s="65">
        <f t="shared" ref="J55:J58" si="53">IFERROR(F55/G55-1,"n/a")</f>
        <v>0.19999999999999996</v>
      </c>
      <c r="K55" s="65">
        <f t="shared" ref="K55:K58" si="54">IFERROR(F55/H55-1,"n/a")</f>
        <v>2</v>
      </c>
      <c r="L55" s="61">
        <f t="shared" ref="L55:L58" si="55">IFERROR(F55/I55-1,"n/a")</f>
        <v>0.41176470588235303</v>
      </c>
      <c r="M55" s="71">
        <f>+M28-'Mar-22'!M25</f>
        <v>508</v>
      </c>
      <c r="N55" s="71">
        <f>+N28-'Mar-22'!N25</f>
        <v>124</v>
      </c>
      <c r="O55" s="71">
        <f>+O28-'Mar-22'!O25</f>
        <v>31</v>
      </c>
      <c r="P55" s="71">
        <f>+P28-'Mar-22'!P25</f>
        <v>341</v>
      </c>
      <c r="Q55" s="65">
        <f>IFERROR(M55/N55-1,"n/a")</f>
        <v>3.096774193548387</v>
      </c>
      <c r="R55" s="65">
        <f>IFERROR(M55/O55-1,"n/a")</f>
        <v>15.387096774193548</v>
      </c>
      <c r="S55" s="61">
        <f t="shared" ref="S55:S58" si="56">IFERROR(M55/P55-1,"n/a")</f>
        <v>0.48973607038123168</v>
      </c>
      <c r="T55" s="90">
        <v>140</v>
      </c>
      <c r="U55" s="71">
        <v>40</v>
      </c>
      <c r="V55" s="79">
        <v>360</v>
      </c>
      <c r="AM55"/>
      <c r="AN55"/>
      <c r="AO55"/>
      <c r="AP55"/>
      <c r="AQ55"/>
      <c r="AR55"/>
      <c r="AS55"/>
      <c r="AT55"/>
    </row>
    <row r="56" spans="1:46" s="10" customFormat="1" ht="15.45" customHeight="1">
      <c r="A56"/>
      <c r="B56"/>
      <c r="C56" s="34"/>
      <c r="D56" s="27" t="s">
        <v>11</v>
      </c>
      <c r="E56" s="33"/>
      <c r="F56" s="75">
        <f t="shared" si="52"/>
        <v>34250</v>
      </c>
      <c r="G56" s="75">
        <f t="shared" si="52"/>
        <v>14810</v>
      </c>
      <c r="H56" s="75">
        <f t="shared" si="52"/>
        <v>2381</v>
      </c>
      <c r="I56" s="75">
        <f t="shared" si="52"/>
        <v>16811</v>
      </c>
      <c r="J56" s="65">
        <f t="shared" si="53"/>
        <v>1.3126266036461849</v>
      </c>
      <c r="K56" s="65">
        <f t="shared" si="54"/>
        <v>13.384712305753885</v>
      </c>
      <c r="L56" s="61">
        <f t="shared" si="55"/>
        <v>1.0373564927725893</v>
      </c>
      <c r="M56" s="83">
        <f>+M29-'Mar-22'!M26</f>
        <v>838361</v>
      </c>
      <c r="N56" s="83">
        <f>+N29-'Mar-22'!N26</f>
        <v>162944</v>
      </c>
      <c r="O56" s="83">
        <f>+O29-'Mar-22'!O26</f>
        <v>17801</v>
      </c>
      <c r="P56" s="83">
        <f>+P29-'Mar-22'!P26</f>
        <v>850389</v>
      </c>
      <c r="Q56" s="65">
        <f>IFERROR(M56/N56-1,"n/a")</f>
        <v>4.1450866555380994</v>
      </c>
      <c r="R56" s="65">
        <f>IFERROR(M56/O56-1,"n/a")</f>
        <v>46.096286725464864</v>
      </c>
      <c r="S56" s="61">
        <f t="shared" si="56"/>
        <v>-1.414411522256287E-2</v>
      </c>
      <c r="T56" s="83">
        <v>174336</v>
      </c>
      <c r="U56" s="85">
        <v>21928</v>
      </c>
      <c r="V56" s="79">
        <f>706948+155011</f>
        <v>861959</v>
      </c>
      <c r="AM56"/>
      <c r="AN56"/>
      <c r="AO56"/>
      <c r="AP56"/>
      <c r="AQ56"/>
      <c r="AR56"/>
      <c r="AS56"/>
      <c r="AT56"/>
    </row>
    <row r="57" spans="1:46" s="10" customFormat="1" ht="26.7" customHeight="1" thickBot="1">
      <c r="A57"/>
      <c r="B57"/>
      <c r="C57" s="36" t="s">
        <v>12</v>
      </c>
      <c r="D57" s="37"/>
      <c r="E57" s="38"/>
      <c r="F57" s="76">
        <f t="shared" ref="F57:I58" si="57">F40+F43+F46+F49+F52+F55</f>
        <v>302</v>
      </c>
      <c r="G57" s="76">
        <f t="shared" si="57"/>
        <v>224</v>
      </c>
      <c r="H57" s="76">
        <f t="shared" si="57"/>
        <v>13</v>
      </c>
      <c r="I57" s="76">
        <f t="shared" si="57"/>
        <v>314</v>
      </c>
      <c r="J57" s="67">
        <f t="shared" si="53"/>
        <v>0.34821428571428581</v>
      </c>
      <c r="K57" s="67">
        <f t="shared" si="54"/>
        <v>22.23076923076923</v>
      </c>
      <c r="L57" s="63">
        <f t="shared" si="55"/>
        <v>-3.8216560509554132E-2</v>
      </c>
      <c r="M57" s="47">
        <f t="shared" ref="M57:P58" si="58">M40+M43+M46+M49+M52+M55</f>
        <v>2678</v>
      </c>
      <c r="N57" s="47">
        <f t="shared" si="58"/>
        <v>843</v>
      </c>
      <c r="O57" s="47">
        <f t="shared" si="58"/>
        <v>94</v>
      </c>
      <c r="P57" s="47">
        <f t="shared" si="58"/>
        <v>2418</v>
      </c>
      <c r="Q57" s="67">
        <f>IFERROR(M57/N57-1,"n/a")</f>
        <v>2.1767497034400951</v>
      </c>
      <c r="R57" s="67">
        <f>IFERROR(M57/O57-1,"n/a")</f>
        <v>27.48936170212766</v>
      </c>
      <c r="S57" s="63">
        <f t="shared" si="56"/>
        <v>0.10752688172043001</v>
      </c>
      <c r="T57" s="47">
        <f t="shared" ref="T57:V58" si="59">T40+T43+T46+T49+T52+T55</f>
        <v>1682</v>
      </c>
      <c r="U57" s="47">
        <f t="shared" si="59"/>
        <v>679</v>
      </c>
      <c r="V57" s="81">
        <f t="shared" si="59"/>
        <v>3274</v>
      </c>
      <c r="AM57"/>
      <c r="AN57"/>
      <c r="AO57"/>
      <c r="AP57"/>
      <c r="AQ57"/>
      <c r="AR57"/>
      <c r="AS57"/>
      <c r="AT57"/>
    </row>
    <row r="58" spans="1:46" s="10" customFormat="1" ht="26.7" customHeight="1" thickTop="1" thickBot="1">
      <c r="A58"/>
      <c r="B58"/>
      <c r="C58" s="39" t="s">
        <v>13</v>
      </c>
      <c r="D58" s="40"/>
      <c r="E58" s="41"/>
      <c r="F58" s="77">
        <f t="shared" si="57"/>
        <v>675826</v>
      </c>
      <c r="G58" s="77">
        <f t="shared" si="57"/>
        <v>304659</v>
      </c>
      <c r="H58" s="77">
        <f t="shared" si="57"/>
        <v>4854</v>
      </c>
      <c r="I58" s="77">
        <f t="shared" si="57"/>
        <v>745517</v>
      </c>
      <c r="J58" s="68">
        <f t="shared" si="53"/>
        <v>1.2183030864015176</v>
      </c>
      <c r="K58" s="68">
        <f t="shared" si="54"/>
        <v>138.23073753605274</v>
      </c>
      <c r="L58" s="64">
        <f t="shared" si="55"/>
        <v>-9.3480095021307386E-2</v>
      </c>
      <c r="M58" s="48">
        <f t="shared" si="58"/>
        <v>5875652</v>
      </c>
      <c r="N58" s="48">
        <f t="shared" si="58"/>
        <v>1237101</v>
      </c>
      <c r="O58" s="48">
        <f t="shared" si="58"/>
        <v>35826</v>
      </c>
      <c r="P58" s="48">
        <f t="shared" si="58"/>
        <v>6739839</v>
      </c>
      <c r="Q58" s="68">
        <f>IFERROR(M58/N58-1,"n/a")</f>
        <v>3.7495329807347986</v>
      </c>
      <c r="R58" s="68">
        <f>IFERROR(M58/O58-1,"n/a")</f>
        <v>163.00524758555238</v>
      </c>
      <c r="S58" s="64">
        <f t="shared" si="56"/>
        <v>-0.12822071862547457</v>
      </c>
      <c r="T58" s="48">
        <f t="shared" si="59"/>
        <v>2411641</v>
      </c>
      <c r="U58" s="48">
        <f t="shared" si="59"/>
        <v>1324261</v>
      </c>
      <c r="V58" s="82">
        <f t="shared" si="59"/>
        <v>8654686</v>
      </c>
      <c r="AM58"/>
      <c r="AN58"/>
      <c r="AO58"/>
      <c r="AP58"/>
      <c r="AQ58"/>
      <c r="AR58"/>
      <c r="AS58"/>
      <c r="AT58"/>
    </row>
    <row r="59" spans="1:46" s="10"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7" customHeight="1"/>
    <row r="61" spans="1:46" ht="26.7" customHeight="1"/>
    <row r="62" spans="1:46" ht="26.7" customHeight="1"/>
    <row r="63" spans="1:46" ht="26.7" customHeight="1"/>
    <row r="64" spans="1:46" ht="26.7" customHeight="1"/>
    <row r="65" ht="26.7" customHeight="1"/>
    <row r="66" ht="26.7" customHeight="1"/>
    <row r="67" ht="26.7" customHeight="1"/>
    <row r="68"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EFDBC9-7FE4-4428-AAB5-219C01E9147B}">
  <sheetPr>
    <pageSetUpPr fitToPage="1"/>
  </sheetPr>
  <dimension ref="A1:AT65"/>
  <sheetViews>
    <sheetView showGridLines="0" topLeftCell="A11" zoomScale="110" zoomScaleNormal="110" zoomScalePageLayoutView="40" workbookViewId="0">
      <selection activeCell="E17" sqref="E17"/>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v>44880</v>
      </c>
    </row>
    <row r="4" spans="1:38" ht="16.2">
      <c r="A4" s="10"/>
      <c r="B4" s="12" t="s">
        <v>7</v>
      </c>
      <c r="C4" s="27"/>
      <c r="D4" s="25"/>
      <c r="E4" s="59" t="s">
        <v>91</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02" t="s">
        <v>24</v>
      </c>
      <c r="G9" s="102"/>
      <c r="H9" s="102"/>
      <c r="I9" s="102"/>
      <c r="J9" s="102"/>
      <c r="K9" s="102"/>
      <c r="L9" s="103"/>
      <c r="M9" s="104" t="s">
        <v>92</v>
      </c>
      <c r="N9" s="102"/>
      <c r="O9" s="102"/>
      <c r="P9" s="102"/>
      <c r="Q9" s="102"/>
      <c r="R9" s="102"/>
      <c r="S9" s="103"/>
      <c r="T9" s="104" t="s">
        <v>57</v>
      </c>
      <c r="U9" s="102"/>
      <c r="V9" s="105"/>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4</v>
      </c>
      <c r="G13" s="72">
        <v>4</v>
      </c>
      <c r="H13" s="72">
        <v>0</v>
      </c>
      <c r="I13" s="72">
        <v>13</v>
      </c>
      <c r="J13" s="65">
        <f t="shared" ref="J13:J31" si="0">IFERROR(F13/G13-1,"n/a")</f>
        <v>0</v>
      </c>
      <c r="K13" s="65" t="str">
        <f>IFERROR(F13/H13-1,"n/a")</f>
        <v>n/a</v>
      </c>
      <c r="L13" s="61">
        <f t="shared" ref="L13:L14" si="1">IFERROR(F13/I13-1,"n/a")</f>
        <v>-0.69230769230769229</v>
      </c>
      <c r="M13" s="69">
        <f>F13+'Sep-22'!M13</f>
        <v>233</v>
      </c>
      <c r="N13" s="69">
        <f>G13+'Sep-22'!N13</f>
        <v>20</v>
      </c>
      <c r="O13" s="69">
        <f>H13+'Sep-22'!O13</f>
        <v>145</v>
      </c>
      <c r="P13" s="69">
        <f>I13+'Sep-22'!P13</f>
        <v>266</v>
      </c>
      <c r="Q13" s="65">
        <f>IFERROR(M13/N13-1,"n/a")</f>
        <v>10.65</v>
      </c>
      <c r="R13" s="65">
        <f>IFERROR(M13/O13-1,"n/a")</f>
        <v>0.60689655172413803</v>
      </c>
      <c r="S13" s="61">
        <f>IFERROR(M13/P13-1,"n/a")</f>
        <v>-0.12406015037593987</v>
      </c>
      <c r="T13" s="69">
        <v>111</v>
      </c>
      <c r="U13" s="71">
        <v>145</v>
      </c>
      <c r="V13" s="79">
        <v>386</v>
      </c>
    </row>
    <row r="14" spans="1:38" ht="14.4">
      <c r="A14" s="10"/>
      <c r="B14" s="13"/>
      <c r="C14" s="34"/>
      <c r="D14" s="27" t="s">
        <v>11</v>
      </c>
      <c r="E14" s="33"/>
      <c r="F14" s="75">
        <v>7610</v>
      </c>
      <c r="G14" s="72">
        <v>720</v>
      </c>
      <c r="H14" s="72">
        <v>0</v>
      </c>
      <c r="I14" s="72">
        <v>31050</v>
      </c>
      <c r="J14" s="65">
        <f t="shared" si="0"/>
        <v>9.5694444444444446</v>
      </c>
      <c r="K14" s="65" t="str">
        <f t="shared" ref="K14" si="2">IFERROR(F14/H14-1,"n/a")</f>
        <v>n/a</v>
      </c>
      <c r="L14" s="61">
        <f t="shared" si="1"/>
        <v>-0.7549114331723028</v>
      </c>
      <c r="M14" s="69">
        <f>F14+'Sep-22'!M14</f>
        <v>206692</v>
      </c>
      <c r="N14" s="69">
        <f>G14+'Sep-22'!N14</f>
        <v>4921</v>
      </c>
      <c r="O14" s="69">
        <f>H14+'Sep-22'!O14</f>
        <v>258885</v>
      </c>
      <c r="P14" s="69">
        <f>I14+'Sep-22'!P14</f>
        <v>523329</v>
      </c>
      <c r="Q14" s="65">
        <f>IFERROR(M14/N14-1,"n/a")</f>
        <v>41.002032107295264</v>
      </c>
      <c r="R14" s="65">
        <f>IFERROR(M14/O14-1,"n/a")</f>
        <v>-0.20160689109063867</v>
      </c>
      <c r="S14" s="61">
        <f>IFERROR(M14/P14-1,"n/a")</f>
        <v>-0.60504386342052507</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129</v>
      </c>
      <c r="G16" s="72">
        <v>107</v>
      </c>
      <c r="H16" s="72">
        <v>0</v>
      </c>
      <c r="I16" s="72">
        <v>127</v>
      </c>
      <c r="J16" s="65">
        <f t="shared" si="0"/>
        <v>0.20560747663551404</v>
      </c>
      <c r="K16" s="65" t="str">
        <f t="shared" ref="K16:K17" si="3">IFERROR(F16/H16-1,"n/a")</f>
        <v>n/a</v>
      </c>
      <c r="L16" s="61">
        <f t="shared" ref="L16:L17" si="4">IFERROR(F16/I16-1,"n/a")</f>
        <v>1.5748031496062964E-2</v>
      </c>
      <c r="M16" s="69">
        <f>F16+'Sep-22'!M16</f>
        <v>656</v>
      </c>
      <c r="N16" s="69">
        <f>G16+'Sep-22'!N16</f>
        <v>191</v>
      </c>
      <c r="O16" s="69">
        <f>H16+'Sep-22'!O16</f>
        <v>43</v>
      </c>
      <c r="P16" s="69">
        <f>I16+'Sep-22'!P16</f>
        <v>712</v>
      </c>
      <c r="Q16" s="65">
        <f t="shared" ref="Q16:Q17" si="5">IFERROR(M16/N16-1,"n/a")</f>
        <v>2.4345549738219896</v>
      </c>
      <c r="R16" s="65">
        <f t="shared" ref="R16:R17" si="6">IFERROR(M16/O16-1,"n/a")</f>
        <v>14.255813953488373</v>
      </c>
      <c r="S16" s="61">
        <f t="shared" ref="S16:S17" si="7">IFERROR(M16/P16-1,"n/a")</f>
        <v>-7.8651685393258397E-2</v>
      </c>
      <c r="T16" s="69">
        <v>283</v>
      </c>
      <c r="U16" s="71">
        <v>43</v>
      </c>
      <c r="V16" s="79">
        <v>827</v>
      </c>
    </row>
    <row r="17" spans="1:38" ht="14.4">
      <c r="A17" s="10"/>
      <c r="B17" s="13"/>
      <c r="C17" s="34"/>
      <c r="D17" s="27" t="s">
        <v>11</v>
      </c>
      <c r="E17" s="33"/>
      <c r="F17" s="75">
        <v>298256</v>
      </c>
      <c r="G17" s="72">
        <v>174505</v>
      </c>
      <c r="H17" s="72">
        <v>0</v>
      </c>
      <c r="I17" s="72">
        <v>332808</v>
      </c>
      <c r="J17" s="65">
        <f t="shared" si="0"/>
        <v>0.7091544654880948</v>
      </c>
      <c r="K17" s="65" t="str">
        <f t="shared" si="3"/>
        <v>n/a</v>
      </c>
      <c r="L17" s="61">
        <f t="shared" si="4"/>
        <v>-0.10381961972067977</v>
      </c>
      <c r="M17" s="69">
        <f>F17+'Sep-22'!M17</f>
        <v>1579986</v>
      </c>
      <c r="N17" s="69">
        <f>G17+'Sep-22'!N17</f>
        <v>342388</v>
      </c>
      <c r="O17" s="69">
        <f>H17+'Sep-22'!O17</f>
        <v>140552</v>
      </c>
      <c r="P17" s="69">
        <f>I17+'Sep-22'!P17</f>
        <v>2230252</v>
      </c>
      <c r="Q17" s="65">
        <f t="shared" si="5"/>
        <v>3.6146068203324884</v>
      </c>
      <c r="R17" s="65">
        <f t="shared" si="6"/>
        <v>10.241291479310149</v>
      </c>
      <c r="S17" s="61">
        <f t="shared" si="7"/>
        <v>-0.2915661548560432</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75</v>
      </c>
      <c r="G19" s="72">
        <v>9</v>
      </c>
      <c r="H19" s="72">
        <v>0</v>
      </c>
      <c r="I19" s="72">
        <v>21</v>
      </c>
      <c r="J19" s="65">
        <f t="shared" si="0"/>
        <v>7.3333333333333339</v>
      </c>
      <c r="K19" s="65" t="str">
        <f t="shared" ref="K19:K20" si="8">IFERROR(F19/H19-1,"n/a")</f>
        <v>n/a</v>
      </c>
      <c r="L19" s="61">
        <f>IFERROR(F19/I19-1,"n/a")</f>
        <v>2.5714285714285716</v>
      </c>
      <c r="M19" s="69">
        <f>F19+'Sep-22'!M19</f>
        <v>434</v>
      </c>
      <c r="N19" s="69">
        <f>G19+'Sep-22'!N19</f>
        <v>11</v>
      </c>
      <c r="O19" s="69">
        <f>H19+'Sep-22'!O19</f>
        <v>4</v>
      </c>
      <c r="P19" s="69">
        <f>I19+'Sep-22'!P19</f>
        <v>172</v>
      </c>
      <c r="Q19" s="65">
        <f t="shared" ref="Q19:Q20" si="9">IFERROR(M19/N19-1,"n/a")</f>
        <v>38.454545454545453</v>
      </c>
      <c r="R19" s="65">
        <f t="shared" ref="R19:R20" si="10">IFERROR(M19/O19-1,"n/a")</f>
        <v>107.5</v>
      </c>
      <c r="S19" s="61">
        <f t="shared" ref="S19:S20" si="11">IFERROR(M19/P19-1,"n/a")</f>
        <v>1.5232558139534884</v>
      </c>
      <c r="T19" s="69">
        <v>23</v>
      </c>
      <c r="U19" s="71">
        <v>4</v>
      </c>
      <c r="V19" s="79">
        <v>191</v>
      </c>
    </row>
    <row r="20" spans="1:38" ht="14.4">
      <c r="A20" s="10"/>
      <c r="B20" s="13"/>
      <c r="C20" s="34"/>
      <c r="D20" s="27" t="s">
        <v>11</v>
      </c>
      <c r="E20" s="33"/>
      <c r="F20" s="75">
        <f>94583+7545</f>
        <v>102128</v>
      </c>
      <c r="G20" s="72">
        <v>3111</v>
      </c>
      <c r="H20" s="72">
        <v>0</v>
      </c>
      <c r="I20" s="72">
        <v>28163</v>
      </c>
      <c r="J20" s="65">
        <f t="shared" si="0"/>
        <v>31.828029572484731</v>
      </c>
      <c r="K20" s="65" t="str">
        <f t="shared" si="8"/>
        <v>n/a</v>
      </c>
      <c r="L20" s="61">
        <f t="shared" ref="L20:L31" si="12">IFERROR(F20/I20-1,"n/a")</f>
        <v>2.6263182189397436</v>
      </c>
      <c r="M20" s="69">
        <f>F20+'Sep-22'!M20</f>
        <v>524608</v>
      </c>
      <c r="N20" s="69">
        <f>G20+'Sep-22'!N20</f>
        <v>3535</v>
      </c>
      <c r="O20" s="69">
        <f>H20+'Sep-22'!O20</f>
        <v>1753</v>
      </c>
      <c r="P20" s="69">
        <f>I20+'Sep-22'!P20</f>
        <v>231541</v>
      </c>
      <c r="Q20" s="65">
        <f t="shared" si="9"/>
        <v>147.40396039603959</v>
      </c>
      <c r="R20" s="65">
        <f t="shared" si="10"/>
        <v>298.26297775242443</v>
      </c>
      <c r="S20" s="61">
        <f t="shared" si="11"/>
        <v>1.2657239970458796</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5">
        <v>74</v>
      </c>
      <c r="G22" s="72">
        <v>85</v>
      </c>
      <c r="H22" s="72">
        <v>0</v>
      </c>
      <c r="I22" s="72">
        <v>97</v>
      </c>
      <c r="J22" s="65">
        <f t="shared" si="0"/>
        <v>-0.12941176470588234</v>
      </c>
      <c r="K22" s="65" t="str">
        <f t="shared" ref="K22:K23" si="13">IFERROR(F22/H22-1,"n/a")</f>
        <v>n/a</v>
      </c>
      <c r="L22" s="61">
        <f t="shared" si="12"/>
        <v>-0.23711340206185572</v>
      </c>
      <c r="M22" s="69">
        <f>F22+'Sep-22'!M22</f>
        <v>918</v>
      </c>
      <c r="N22" s="69">
        <f>G22+'Sep-22'!N22</f>
        <v>215</v>
      </c>
      <c r="O22" s="69">
        <f>H22+'Sep-22'!O22</f>
        <v>406</v>
      </c>
      <c r="P22" s="69">
        <f>I22+'Sep-22'!P22</f>
        <v>953</v>
      </c>
      <c r="Q22" s="65">
        <f t="shared" ref="Q22:Q23" si="14">IFERROR(M22/N22-1,"n/a")</f>
        <v>3.2697674418604654</v>
      </c>
      <c r="R22" s="65">
        <f t="shared" ref="R22:R23" si="15">IFERROR(M22/O22-1,"n/a")</f>
        <v>1.2610837438423643</v>
      </c>
      <c r="S22" s="61">
        <f t="shared" ref="S22:S23" si="16">IFERROR(M22/P22-1,"n/a")</f>
        <v>-3.6726128016789095E-2</v>
      </c>
      <c r="T22" s="69">
        <v>411</v>
      </c>
      <c r="U22" s="71">
        <v>406</v>
      </c>
      <c r="V22" s="79">
        <v>1205</v>
      </c>
    </row>
    <row r="23" spans="1:38" ht="14.4">
      <c r="A23" s="10"/>
      <c r="B23" s="13"/>
      <c r="C23" s="34"/>
      <c r="D23" s="27" t="s">
        <v>11</v>
      </c>
      <c r="E23" s="33"/>
      <c r="F23" s="75">
        <v>260968</v>
      </c>
      <c r="G23" s="72">
        <v>142400</v>
      </c>
      <c r="H23" s="72">
        <v>0</v>
      </c>
      <c r="I23" s="72">
        <v>268813</v>
      </c>
      <c r="J23" s="65">
        <f t="shared" si="0"/>
        <v>0.83264044943820226</v>
      </c>
      <c r="K23" s="65" t="str">
        <f t="shared" si="13"/>
        <v>n/a</v>
      </c>
      <c r="L23" s="61">
        <f t="shared" si="12"/>
        <v>-2.9183856435514688E-2</v>
      </c>
      <c r="M23" s="69">
        <f>F23+'Sep-22'!M23</f>
        <v>2457197</v>
      </c>
      <c r="N23" s="69">
        <f>G23+'Sep-22'!N23</f>
        <v>324210</v>
      </c>
      <c r="O23" s="69">
        <f>H23+'Sep-22'!O23</f>
        <v>833999</v>
      </c>
      <c r="P23" s="69">
        <f>I23+'Sep-22'!P23</f>
        <v>3141355</v>
      </c>
      <c r="Q23" s="65">
        <f t="shared" si="14"/>
        <v>6.5790290243977667</v>
      </c>
      <c r="R23" s="65">
        <f t="shared" si="15"/>
        <v>1.9462829092121212</v>
      </c>
      <c r="S23" s="61">
        <f t="shared" si="16"/>
        <v>-0.21779073043320474</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5">
        <v>45</v>
      </c>
      <c r="G25" s="72">
        <v>16</v>
      </c>
      <c r="H25" s="72">
        <v>8</v>
      </c>
      <c r="I25" s="72">
        <v>64</v>
      </c>
      <c r="J25" s="65">
        <f t="shared" si="0"/>
        <v>1.8125</v>
      </c>
      <c r="K25" s="65">
        <f t="shared" ref="K25:K26" si="17">IFERROR(F25/H25-1,"n/a")</f>
        <v>4.625</v>
      </c>
      <c r="L25" s="61">
        <f t="shared" si="12"/>
        <v>-0.296875</v>
      </c>
      <c r="M25" s="69">
        <f>F25+'Sep-22'!M25</f>
        <v>267</v>
      </c>
      <c r="N25" s="69">
        <f>G25+'Sep-22'!N25</f>
        <v>87</v>
      </c>
      <c r="O25" s="69">
        <f>H25+'Sep-22'!O25</f>
        <v>24</v>
      </c>
      <c r="P25" s="69">
        <f>I25+'Sep-22'!P25</f>
        <v>308</v>
      </c>
      <c r="Q25" s="65">
        <f t="shared" ref="Q25:Q26" si="18">IFERROR(M25/N25-1,"n/a")</f>
        <v>2.0689655172413794</v>
      </c>
      <c r="R25" s="65">
        <f t="shared" ref="R25:R26" si="19">IFERROR(M25/O25-1,"n/a")</f>
        <v>10.125</v>
      </c>
      <c r="S25" s="61">
        <f t="shared" ref="S25:S26" si="20">IFERROR(M25/P25-1,"n/a")</f>
        <v>-0.13311688311688308</v>
      </c>
      <c r="T25" s="69">
        <v>107</v>
      </c>
      <c r="U25" s="71">
        <v>32</v>
      </c>
      <c r="V25" s="79">
        <v>372</v>
      </c>
    </row>
    <row r="26" spans="1:38" ht="14.4">
      <c r="A26" s="10"/>
      <c r="B26" s="13"/>
      <c r="C26" s="34"/>
      <c r="D26" s="27" t="s">
        <v>11</v>
      </c>
      <c r="E26" s="33"/>
      <c r="F26" s="75">
        <v>59330</v>
      </c>
      <c r="G26" s="72">
        <v>16203</v>
      </c>
      <c r="H26" s="72">
        <v>8362</v>
      </c>
      <c r="I26" s="72">
        <v>130501</v>
      </c>
      <c r="J26" s="65">
        <f t="shared" si="0"/>
        <v>2.6616675924211566</v>
      </c>
      <c r="K26" s="65">
        <f t="shared" si="17"/>
        <v>6.0951925376704139</v>
      </c>
      <c r="L26" s="61">
        <f t="shared" si="12"/>
        <v>-0.54536746844851769</v>
      </c>
      <c r="M26" s="69">
        <f>F26+'Sep-22'!M26</f>
        <v>483337</v>
      </c>
      <c r="N26" s="69">
        <f>G26+'Sep-22'!N26</f>
        <v>117218</v>
      </c>
      <c r="O26" s="69">
        <f>H26+'Sep-22'!O26</f>
        <v>55662</v>
      </c>
      <c r="P26" s="69">
        <f>I26+'Sep-22'!P26</f>
        <v>818684</v>
      </c>
      <c r="Q26" s="65">
        <f t="shared" si="18"/>
        <v>3.1234025490965553</v>
      </c>
      <c r="R26" s="65">
        <f t="shared" si="19"/>
        <v>7.6834285508964815</v>
      </c>
      <c r="S26" s="61">
        <f t="shared" si="20"/>
        <v>-0.4096171416566099</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79</v>
      </c>
      <c r="G28" s="72">
        <v>28</v>
      </c>
      <c r="H28" s="72">
        <v>12</v>
      </c>
      <c r="I28" s="72">
        <v>71</v>
      </c>
      <c r="J28" s="65">
        <f t="shared" si="0"/>
        <v>1.8214285714285716</v>
      </c>
      <c r="K28" s="65">
        <f t="shared" ref="K28:K31" si="21">IFERROR(F28/H28-1,"n/a")</f>
        <v>5.583333333333333</v>
      </c>
      <c r="L28" s="61">
        <f t="shared" si="12"/>
        <v>0.11267605633802824</v>
      </c>
      <c r="M28" s="69">
        <f>F28+'Sep-22'!M28</f>
        <v>500</v>
      </c>
      <c r="N28" s="69">
        <f>G28+'Sep-22'!N28</f>
        <v>107</v>
      </c>
      <c r="O28" s="69">
        <f>H28+'Sep-22'!O28</f>
        <v>24</v>
      </c>
      <c r="P28" s="69">
        <f>I28+'Sep-22'!P28</f>
        <v>328</v>
      </c>
      <c r="Q28" s="65">
        <f t="shared" ref="Q28:Q31" si="22">IFERROR(M28/N28-1,"n/a")</f>
        <v>3.6728971962616823</v>
      </c>
      <c r="R28" s="65">
        <f t="shared" ref="R28:R31" si="23">IFERROR(M28/O28-1,"n/a")</f>
        <v>19.833333333333332</v>
      </c>
      <c r="S28" s="61">
        <f t="shared" ref="S28:S31" si="24">IFERROR(M28/P28-1,"n/a")</f>
        <v>0.52439024390243905</v>
      </c>
      <c r="T28" s="69">
        <v>124</v>
      </c>
      <c r="U28" s="71">
        <v>37</v>
      </c>
      <c r="V28" s="79">
        <f>282+81</f>
        <v>363</v>
      </c>
    </row>
    <row r="29" spans="1:38" ht="14.4">
      <c r="A29" s="10"/>
      <c r="B29" s="13"/>
      <c r="C29" s="34"/>
      <c r="D29" s="27" t="s">
        <v>11</v>
      </c>
      <c r="E29" s="33"/>
      <c r="F29" s="75">
        <f>111554+10869</f>
        <v>122423</v>
      </c>
      <c r="G29" s="72">
        <v>32614</v>
      </c>
      <c r="H29" s="72">
        <v>5592</v>
      </c>
      <c r="I29" s="72">
        <v>138907</v>
      </c>
      <c r="J29" s="65">
        <f t="shared" si="0"/>
        <v>2.7536947323235421</v>
      </c>
      <c r="K29" s="65">
        <f t="shared" si="21"/>
        <v>20.892525035765377</v>
      </c>
      <c r="L29" s="61">
        <f t="shared" si="12"/>
        <v>-0.11866932551995224</v>
      </c>
      <c r="M29" s="69">
        <f>F29+'Sep-22'!M29</f>
        <v>815711</v>
      </c>
      <c r="N29" s="69">
        <f>G29+'Sep-22'!N29</f>
        <v>150273</v>
      </c>
      <c r="O29" s="69">
        <f>H29+'Sep-22'!O29</f>
        <v>16312</v>
      </c>
      <c r="P29" s="69">
        <f>I29+'Sep-22'!P29</f>
        <v>839687</v>
      </c>
      <c r="Q29" s="65">
        <f t="shared" si="22"/>
        <v>4.4281940202165391</v>
      </c>
      <c r="R29" s="65">
        <f t="shared" si="23"/>
        <v>49.006804806277586</v>
      </c>
      <c r="S29" s="61">
        <f t="shared" si="24"/>
        <v>-2.8553496719611049E-2</v>
      </c>
      <c r="T29" s="69">
        <v>165083</v>
      </c>
      <c r="U29" s="71">
        <f>20768+8294</f>
        <v>29062</v>
      </c>
      <c r="V29" s="79">
        <f>659951+168729+38484</f>
        <v>867164</v>
      </c>
    </row>
    <row r="30" spans="1:38" ht="15" customHeight="1" thickBot="1">
      <c r="A30" s="10"/>
      <c r="B30" s="13"/>
      <c r="C30" s="36" t="s">
        <v>12</v>
      </c>
      <c r="D30" s="37"/>
      <c r="E30" s="38"/>
      <c r="F30" s="76">
        <f t="shared" ref="F30:I31" si="25">F13+F16+F19+F22+F25+F28</f>
        <v>406</v>
      </c>
      <c r="G30" s="76">
        <f t="shared" si="25"/>
        <v>249</v>
      </c>
      <c r="H30" s="76">
        <f t="shared" si="25"/>
        <v>20</v>
      </c>
      <c r="I30" s="76">
        <f t="shared" si="25"/>
        <v>393</v>
      </c>
      <c r="J30" s="67">
        <f t="shared" si="0"/>
        <v>0.63052208835341372</v>
      </c>
      <c r="K30" s="67">
        <f t="shared" si="21"/>
        <v>19.3</v>
      </c>
      <c r="L30" s="63">
        <f t="shared" si="12"/>
        <v>3.30788804071247E-2</v>
      </c>
      <c r="M30" s="47">
        <f t="shared" ref="M30:P31" si="26">M13+M16+M19+M22+M25+M28</f>
        <v>3008</v>
      </c>
      <c r="N30" s="47">
        <f t="shared" si="26"/>
        <v>631</v>
      </c>
      <c r="O30" s="47">
        <f t="shared" si="26"/>
        <v>646</v>
      </c>
      <c r="P30" s="47">
        <f t="shared" si="26"/>
        <v>2739</v>
      </c>
      <c r="Q30" s="67">
        <f t="shared" si="22"/>
        <v>3.7670364500792397</v>
      </c>
      <c r="R30" s="67">
        <f t="shared" si="23"/>
        <v>3.6563467492260058</v>
      </c>
      <c r="S30" s="63">
        <f t="shared" si="24"/>
        <v>9.8211025921869366E-2</v>
      </c>
      <c r="T30" s="47">
        <f t="shared" ref="T30:V31" si="27">T13+T16+T19+T22+T25+T28</f>
        <v>1059</v>
      </c>
      <c r="U30" s="47">
        <f t="shared" si="27"/>
        <v>667</v>
      </c>
      <c r="V30" s="81">
        <f t="shared" si="27"/>
        <v>3344</v>
      </c>
    </row>
    <row r="31" spans="1:38" s="23" customFormat="1" ht="15" customHeight="1" thickTop="1" thickBot="1">
      <c r="A31" s="10"/>
      <c r="B31" s="13"/>
      <c r="C31" s="39" t="s">
        <v>13</v>
      </c>
      <c r="D31" s="40"/>
      <c r="E31" s="41"/>
      <c r="F31" s="77">
        <f t="shared" si="25"/>
        <v>850715</v>
      </c>
      <c r="G31" s="77">
        <f t="shared" si="25"/>
        <v>369553</v>
      </c>
      <c r="H31" s="77">
        <f t="shared" si="25"/>
        <v>13954</v>
      </c>
      <c r="I31" s="77">
        <f t="shared" si="25"/>
        <v>930242</v>
      </c>
      <c r="J31" s="68">
        <f t="shared" si="0"/>
        <v>1.3020108076514059</v>
      </c>
      <c r="K31" s="68">
        <f t="shared" si="21"/>
        <v>59.965672925326068</v>
      </c>
      <c r="L31" s="64">
        <f t="shared" si="12"/>
        <v>-8.549065726982874E-2</v>
      </c>
      <c r="M31" s="48">
        <f t="shared" si="26"/>
        <v>6067531</v>
      </c>
      <c r="N31" s="48">
        <f t="shared" si="26"/>
        <v>942545</v>
      </c>
      <c r="O31" s="48">
        <f t="shared" si="26"/>
        <v>1307163</v>
      </c>
      <c r="P31" s="48">
        <f t="shared" si="26"/>
        <v>7784848</v>
      </c>
      <c r="Q31" s="68">
        <f t="shared" si="22"/>
        <v>5.4373913181863998</v>
      </c>
      <c r="R31" s="68">
        <f t="shared" si="23"/>
        <v>3.6417554658447342</v>
      </c>
      <c r="S31" s="64">
        <f t="shared" si="24"/>
        <v>-0.22059737068726326</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5" customHeight="1">
      <c r="A33" s="10"/>
      <c r="B33" s="10"/>
      <c r="C33" s="10"/>
      <c r="D33" s="10"/>
      <c r="E33" s="10"/>
      <c r="F33" s="42"/>
      <c r="G33" s="42"/>
      <c r="H33" s="42"/>
      <c r="I33" s="42"/>
      <c r="J33" s="42"/>
      <c r="K33" s="42"/>
      <c r="L33" s="10"/>
      <c r="M33" s="10"/>
      <c r="N33" s="10"/>
      <c r="O33" s="10"/>
      <c r="P33" s="10"/>
      <c r="Q33" s="10"/>
      <c r="R33" s="10"/>
      <c r="S33" s="10"/>
      <c r="T33" s="10"/>
      <c r="U33" s="10"/>
      <c r="V33" s="10"/>
    </row>
    <row r="34" spans="1:22" ht="14.4">
      <c r="A34" s="10"/>
      <c r="B34" s="11"/>
      <c r="C34" s="87" t="s">
        <v>63</v>
      </c>
      <c r="D34" s="25"/>
      <c r="E34" s="25"/>
      <c r="F34" s="25"/>
      <c r="G34" s="25"/>
      <c r="H34" s="25"/>
      <c r="I34" s="101"/>
      <c r="J34" s="101"/>
      <c r="K34" s="101"/>
      <c r="L34" s="25"/>
      <c r="M34" s="25"/>
      <c r="N34" s="25"/>
      <c r="O34" s="25"/>
      <c r="P34" s="25"/>
      <c r="Q34" s="25"/>
      <c r="R34" s="25"/>
      <c r="S34" s="25"/>
      <c r="T34" s="25"/>
      <c r="U34" s="25"/>
      <c r="V34" s="25"/>
    </row>
    <row r="35" spans="1:22" ht="14.4">
      <c r="A35" s="10"/>
      <c r="B35" s="11"/>
      <c r="C35" s="25"/>
      <c r="D35" s="25"/>
      <c r="E35" s="25"/>
      <c r="F35" s="25"/>
      <c r="G35" s="25"/>
      <c r="H35" s="25"/>
      <c r="I35" s="101"/>
      <c r="J35" s="101"/>
      <c r="K35" s="101"/>
      <c r="L35" s="25"/>
      <c r="M35" s="25"/>
      <c r="N35" s="25"/>
      <c r="O35" s="25"/>
      <c r="P35" s="25"/>
      <c r="Q35" s="25"/>
      <c r="R35" s="25"/>
      <c r="S35" s="25"/>
      <c r="T35" s="25"/>
      <c r="U35" s="25"/>
      <c r="V35" s="25"/>
    </row>
    <row r="36" spans="1:22" ht="15" customHeight="1">
      <c r="A36" s="10"/>
      <c r="B36" s="10"/>
      <c r="C36" s="28" t="s">
        <v>7</v>
      </c>
      <c r="D36" s="29"/>
      <c r="E36" s="29"/>
      <c r="F36" s="102" t="str">
        <f>F9</f>
        <v>October</v>
      </c>
      <c r="G36" s="102"/>
      <c r="H36" s="102"/>
      <c r="I36" s="102"/>
      <c r="J36" s="102"/>
      <c r="K36" s="102"/>
      <c r="L36" s="103"/>
      <c r="M36" s="104" t="s">
        <v>93</v>
      </c>
      <c r="N36" s="102"/>
      <c r="O36" s="102"/>
      <c r="P36" s="102"/>
      <c r="Q36" s="102"/>
      <c r="R36" s="102"/>
      <c r="S36" s="103"/>
      <c r="T36" s="104" t="s">
        <v>58</v>
      </c>
      <c r="U36" s="102"/>
      <c r="V36" s="105"/>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4</v>
      </c>
      <c r="G40" s="75">
        <f>G13</f>
        <v>4</v>
      </c>
      <c r="H40" s="75">
        <v>0</v>
      </c>
      <c r="I40" s="72">
        <f>I13</f>
        <v>13</v>
      </c>
      <c r="J40" s="65">
        <f t="shared" ref="J40:J41" si="28">IFERROR(F40/G40-1,"n/a")</f>
        <v>0</v>
      </c>
      <c r="K40" s="65" t="str">
        <f>IFERROR(F40/H40-1,"n/a")</f>
        <v>n/a</v>
      </c>
      <c r="L40" s="61">
        <f t="shared" ref="L40:L41" si="29">IFERROR(F40/I40-1,"n/a")</f>
        <v>-0.69230769230769229</v>
      </c>
      <c r="M40" s="71">
        <f>+M13-'Mar-22'!M10</f>
        <v>36</v>
      </c>
      <c r="N40" s="71">
        <f>+N13-'Mar-22'!N10</f>
        <v>20</v>
      </c>
      <c r="O40" s="83">
        <f>+O13-'Mar-22'!O10</f>
        <v>0</v>
      </c>
      <c r="P40" s="71">
        <f>+P13-'Mar-22'!P10</f>
        <v>66</v>
      </c>
      <c r="Q40" s="65">
        <f>IFERROR(M40/N40-1,"n/a")</f>
        <v>0.8</v>
      </c>
      <c r="R40" s="65" t="str">
        <f>IFERROR(M40/O40-1,"n/a")</f>
        <v>n/a</v>
      </c>
      <c r="S40" s="61">
        <f>IFERROR(M40/P40-1,"n/a")</f>
        <v>-0.45454545454545459</v>
      </c>
      <c r="T40" s="90">
        <v>308</v>
      </c>
      <c r="U40" s="71">
        <v>145</v>
      </c>
      <c r="V40" s="79">
        <v>331</v>
      </c>
    </row>
    <row r="41" spans="1:22" s="10" customFormat="1" ht="15" customHeight="1">
      <c r="C41" s="34"/>
      <c r="D41" s="27" t="s">
        <v>11</v>
      </c>
      <c r="E41" s="33"/>
      <c r="F41" s="75">
        <f>F14</f>
        <v>7610</v>
      </c>
      <c r="G41" s="75">
        <f>G14</f>
        <v>720</v>
      </c>
      <c r="H41" s="75">
        <v>0</v>
      </c>
      <c r="I41" s="75">
        <f>I14</f>
        <v>31050</v>
      </c>
      <c r="J41" s="65">
        <f t="shared" si="28"/>
        <v>9.5694444444444446</v>
      </c>
      <c r="K41" s="65" t="str">
        <f t="shared" ref="K41" si="30">IFERROR(F41/H41-1,"n/a")</f>
        <v>n/a</v>
      </c>
      <c r="L41" s="61">
        <f t="shared" si="29"/>
        <v>-0.7549114331723028</v>
      </c>
      <c r="M41" s="83">
        <f>+M14-'Mar-22'!M11</f>
        <v>50364</v>
      </c>
      <c r="N41" s="83">
        <f>+N14-'Mar-22'!N11</f>
        <v>4921</v>
      </c>
      <c r="O41" s="83">
        <f>+O14-'Mar-22'!O11</f>
        <v>0</v>
      </c>
      <c r="P41" s="83">
        <f>+P14-'Mar-22'!P11</f>
        <v>137949</v>
      </c>
      <c r="Q41" s="65">
        <f>IFERROR(M41/N41-1,"n/a")</f>
        <v>9.2345051818736028</v>
      </c>
      <c r="R41" s="65" t="str">
        <f>IFERROR(M41/O41-1,"n/a")</f>
        <v>n/a</v>
      </c>
      <c r="S41" s="61">
        <f>IFERROR(M41/P41-1,"n/a")</f>
        <v>-0.63490855316095085</v>
      </c>
      <c r="T41" s="90">
        <v>237191</v>
      </c>
      <c r="U41" s="85">
        <v>258885</v>
      </c>
      <c r="V41" s="79">
        <v>606801</v>
      </c>
    </row>
    <row r="42" spans="1:22" s="10" customFormat="1" ht="15" customHeight="1">
      <c r="C42" s="32" t="s">
        <v>74</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F16</f>
        <v>129</v>
      </c>
      <c r="G43" s="75">
        <f>G16</f>
        <v>107</v>
      </c>
      <c r="H43" s="75">
        <v>0</v>
      </c>
      <c r="I43" s="75">
        <f>I16</f>
        <v>127</v>
      </c>
      <c r="J43" s="65">
        <f t="shared" ref="J43:J44" si="31">IFERROR(F43/G43-1,"n/a")</f>
        <v>0.20560747663551404</v>
      </c>
      <c r="K43" s="65" t="str">
        <f t="shared" ref="K43:K44" si="32">IFERROR(F43/H43-1,"n/a")</f>
        <v>n/a</v>
      </c>
      <c r="L43" s="61">
        <f t="shared" ref="L43:L44" si="33">IFERROR(F43/I43-1,"n/a")</f>
        <v>1.5748031496062964E-2</v>
      </c>
      <c r="M43" s="71">
        <f>+M16-'Mar-22'!M13</f>
        <v>603</v>
      </c>
      <c r="N43" s="71">
        <f>+N16-'Mar-22'!N13</f>
        <v>191</v>
      </c>
      <c r="O43" s="83">
        <f>+O16-'Mar-22'!O13</f>
        <v>0</v>
      </c>
      <c r="P43" s="71">
        <f>+P16-'Mar-22'!P13</f>
        <v>623</v>
      </c>
      <c r="Q43" s="65">
        <f>IFERROR(M43/N43-1,"n/a")</f>
        <v>2.157068062827225</v>
      </c>
      <c r="R43" s="65" t="str">
        <f>IFERROR(M43/O43-1,"n/a")</f>
        <v>n/a</v>
      </c>
      <c r="S43" s="61">
        <f t="shared" ref="S43:S44" si="34">IFERROR(M43/P43-1,"n/a")</f>
        <v>-3.2102728731942198E-2</v>
      </c>
      <c r="T43" s="90">
        <v>336</v>
      </c>
      <c r="U43" s="71">
        <v>43</v>
      </c>
      <c r="V43" s="79">
        <v>781</v>
      </c>
    </row>
    <row r="44" spans="1:22" s="10" customFormat="1" ht="15" customHeight="1">
      <c r="C44" s="34"/>
      <c r="D44" s="27" t="s">
        <v>11</v>
      </c>
      <c r="E44" s="33"/>
      <c r="F44" s="75">
        <f>F17</f>
        <v>298256</v>
      </c>
      <c r="G44" s="75">
        <f>G17</f>
        <v>174505</v>
      </c>
      <c r="H44" s="75">
        <v>0</v>
      </c>
      <c r="I44" s="75">
        <f>I17</f>
        <v>332808</v>
      </c>
      <c r="J44" s="65">
        <f t="shared" si="31"/>
        <v>0.7091544654880948</v>
      </c>
      <c r="K44" s="65" t="str">
        <f t="shared" si="32"/>
        <v>n/a</v>
      </c>
      <c r="L44" s="61">
        <f t="shared" si="33"/>
        <v>-0.10381961972067977</v>
      </c>
      <c r="M44" s="83">
        <f>+M17-'Mar-22'!M14</f>
        <v>1511532</v>
      </c>
      <c r="N44" s="83">
        <f>+N17-'Mar-22'!N14</f>
        <v>342388</v>
      </c>
      <c r="O44" s="83">
        <f>+O17-'Mar-22'!O14</f>
        <v>0</v>
      </c>
      <c r="P44" s="83">
        <f>+P17-'Mar-22'!P14</f>
        <v>1978352</v>
      </c>
      <c r="Q44" s="65">
        <f>IFERROR(M44/N44-1,"n/a")</f>
        <v>3.4146757479818222</v>
      </c>
      <c r="R44" s="65" t="str">
        <f>IFERROR(M44/O44-1,"n/a")</f>
        <v>n/a</v>
      </c>
      <c r="S44" s="61">
        <f t="shared" si="34"/>
        <v>-0.23596407514941731</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F19</f>
        <v>75</v>
      </c>
      <c r="G46" s="72">
        <f>G19</f>
        <v>9</v>
      </c>
      <c r="H46" s="75">
        <v>0</v>
      </c>
      <c r="I46" s="75">
        <f>I19</f>
        <v>21</v>
      </c>
      <c r="J46" s="65">
        <f t="shared" ref="J46:J47" si="35">IFERROR(F46/G46-1,"n/a")</f>
        <v>7.3333333333333339</v>
      </c>
      <c r="K46" s="65" t="str">
        <f t="shared" ref="K46:K47" si="36">IFERROR(F46/H46-1,"n/a")</f>
        <v>n/a</v>
      </c>
      <c r="L46" s="61">
        <f>IFERROR(F46/I46-1,"n/a")</f>
        <v>2.5714285714285716</v>
      </c>
      <c r="M46" s="71">
        <f>+M19-'Mar-22'!M16</f>
        <v>424</v>
      </c>
      <c r="N46" s="83">
        <f>+N19-'Mar-22'!N16</f>
        <v>11</v>
      </c>
      <c r="O46" s="83">
        <f>+O19-'Mar-22'!O16</f>
        <v>1</v>
      </c>
      <c r="P46" s="83">
        <f>+P19-'Mar-22'!P16</f>
        <v>166</v>
      </c>
      <c r="Q46" s="65">
        <f>IFERROR(M46/N46-1,"n/a")</f>
        <v>37.545454545454547</v>
      </c>
      <c r="R46" s="65">
        <f>IFERROR(M46/O46-1,"n/a")</f>
        <v>423</v>
      </c>
      <c r="S46" s="61">
        <f t="shared" ref="S46:S47" si="37">IFERROR(M46/P46-1,"n/a")</f>
        <v>1.5542168674698793</v>
      </c>
      <c r="T46" s="90">
        <v>33</v>
      </c>
      <c r="U46" s="71">
        <v>4</v>
      </c>
      <c r="V46" s="79">
        <v>188</v>
      </c>
    </row>
    <row r="47" spans="1:22" s="10" customFormat="1" ht="15" customHeight="1">
      <c r="C47" s="34"/>
      <c r="D47" s="27" t="s">
        <v>11</v>
      </c>
      <c r="E47" s="33"/>
      <c r="F47" s="75">
        <f>F20</f>
        <v>102128</v>
      </c>
      <c r="G47" s="72">
        <f>G20</f>
        <v>3111</v>
      </c>
      <c r="H47" s="75">
        <v>0</v>
      </c>
      <c r="I47" s="75">
        <f>I20</f>
        <v>28163</v>
      </c>
      <c r="J47" s="65">
        <f t="shared" si="35"/>
        <v>31.828029572484731</v>
      </c>
      <c r="K47" s="65" t="str">
        <f t="shared" si="36"/>
        <v>n/a</v>
      </c>
      <c r="L47" s="61">
        <f t="shared" ref="L47" si="38">IFERROR(F47/I47-1,"n/a")</f>
        <v>2.6263182189397436</v>
      </c>
      <c r="M47" s="83">
        <f>+M20-'Mar-22'!M17</f>
        <v>523136</v>
      </c>
      <c r="N47" s="83">
        <f>+N20-'Mar-22'!N17</f>
        <v>3535</v>
      </c>
      <c r="O47" s="83">
        <f>+O20-'Mar-22'!O17</f>
        <v>111</v>
      </c>
      <c r="P47" s="83">
        <f>+P20-'Mar-22'!P17</f>
        <v>226403</v>
      </c>
      <c r="Q47" s="65">
        <f>IFERROR(M47/N47-1,"n/a")</f>
        <v>146.9875530410184</v>
      </c>
      <c r="R47" s="65">
        <f>IFERROR(M47/O47-1,"n/a")</f>
        <v>4711.9369369369369</v>
      </c>
      <c r="S47" s="61">
        <f t="shared" si="37"/>
        <v>1.3106407600606</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F22</f>
        <v>74</v>
      </c>
      <c r="G49" s="75">
        <f>G22</f>
        <v>85</v>
      </c>
      <c r="H49" s="75">
        <v>0</v>
      </c>
      <c r="I49" s="75">
        <f>I22</f>
        <v>97</v>
      </c>
      <c r="J49" s="65">
        <f t="shared" ref="J49:J50" si="39">IFERROR(F49/G49-1,"n/a")</f>
        <v>-0.12941176470588234</v>
      </c>
      <c r="K49" s="65" t="str">
        <f t="shared" ref="K49:K50" si="40">IFERROR(F49/H49-1,"n/a")</f>
        <v>n/a</v>
      </c>
      <c r="L49" s="61">
        <f t="shared" ref="L49:L50" si="41">IFERROR(F49/I49-1,"n/a")</f>
        <v>-0.23711340206185572</v>
      </c>
      <c r="M49" s="71">
        <f>+M22-'Mar-22'!M19</f>
        <v>585</v>
      </c>
      <c r="N49" s="71">
        <f>+N22-'Mar-22'!N19</f>
        <v>215</v>
      </c>
      <c r="O49" s="71">
        <f>+O22-'Mar-22'!O19</f>
        <v>42</v>
      </c>
      <c r="P49" s="71">
        <f>+P22-'Mar-22'!P19</f>
        <v>637</v>
      </c>
      <c r="Q49" s="65">
        <f>IFERROR(M49/N49-1,"n/a")</f>
        <v>1.7209302325581395</v>
      </c>
      <c r="R49" s="65">
        <f>IFERROR(M49/O49-1,"n/a")</f>
        <v>12.928571428571429</v>
      </c>
      <c r="S49" s="61">
        <f>IFERROR(M49/P49-1,"n/a")</f>
        <v>-8.1632653061224469E-2</v>
      </c>
      <c r="T49" s="90">
        <v>744</v>
      </c>
      <c r="U49" s="85">
        <v>406</v>
      </c>
      <c r="V49" s="79">
        <v>1253</v>
      </c>
    </row>
    <row r="50" spans="3:22" s="10" customFormat="1" ht="15" customHeight="1">
      <c r="C50" s="34"/>
      <c r="D50" s="27" t="s">
        <v>11</v>
      </c>
      <c r="E50" s="33"/>
      <c r="F50" s="74">
        <f>F23</f>
        <v>260968</v>
      </c>
      <c r="G50" s="75">
        <f>G23</f>
        <v>142400</v>
      </c>
      <c r="H50" s="75">
        <v>0</v>
      </c>
      <c r="I50" s="75">
        <f>I23</f>
        <v>268813</v>
      </c>
      <c r="J50" s="65">
        <f t="shared" si="39"/>
        <v>0.83264044943820226</v>
      </c>
      <c r="K50" s="65" t="str">
        <f t="shared" si="40"/>
        <v>n/a</v>
      </c>
      <c r="L50" s="61">
        <f t="shared" si="41"/>
        <v>-2.9183856435514688E-2</v>
      </c>
      <c r="M50" s="83">
        <f>+M23-'Mar-22'!M20</f>
        <v>1853867</v>
      </c>
      <c r="N50" s="83">
        <f>+N23-'Mar-22'!N20</f>
        <v>324210</v>
      </c>
      <c r="O50" s="83">
        <f>+O23-'Mar-22'!O20</f>
        <v>0</v>
      </c>
      <c r="P50" s="83">
        <f>+P23-'Mar-22'!P20</f>
        <v>2075631</v>
      </c>
      <c r="Q50" s="65">
        <f>IFERROR(M50/N50-1,"n/a")</f>
        <v>4.7181055488726447</v>
      </c>
      <c r="R50" s="65" t="str">
        <f>IFERROR(M50/O50-1,"n/a")</f>
        <v>n/a</v>
      </c>
      <c r="S50" s="61">
        <f t="shared" ref="S50" si="42">IFERROR(M50/P50-1,"n/a")</f>
        <v>-0.10684172668456005</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3">F25</f>
        <v>45</v>
      </c>
      <c r="G52" s="75">
        <f t="shared" si="43"/>
        <v>16</v>
      </c>
      <c r="H52" s="72">
        <f t="shared" si="43"/>
        <v>8</v>
      </c>
      <c r="I52" s="75">
        <f t="shared" si="43"/>
        <v>64</v>
      </c>
      <c r="J52" s="65">
        <f t="shared" ref="J52:J53" si="44">IFERROR(F52/G52-1,"n/a")</f>
        <v>1.8125</v>
      </c>
      <c r="K52" s="65">
        <f t="shared" ref="K52:K53" si="45">IFERROR(F52/H52-1,"n/a")</f>
        <v>4.625</v>
      </c>
      <c r="L52" s="61">
        <f t="shared" ref="L52:L53" si="46">IFERROR(F52/I52-1,"n/a")</f>
        <v>-0.296875</v>
      </c>
      <c r="M52" s="71">
        <f>+M25-'Mar-22'!M22</f>
        <v>244</v>
      </c>
      <c r="N52" s="71">
        <f>+N25-'Mar-22'!N22</f>
        <v>78</v>
      </c>
      <c r="O52" s="83">
        <f>+O25-'Mar-22'!O22</f>
        <v>15</v>
      </c>
      <c r="P52" s="71">
        <f>+P25-'Mar-22'!P22</f>
        <v>288</v>
      </c>
      <c r="Q52" s="65">
        <f>IFERROR(M52/N52-1,"n/a")</f>
        <v>2.1282051282051282</v>
      </c>
      <c r="R52" s="65">
        <f>IFERROR(M52/O52-1,"n/a")</f>
        <v>15.266666666666666</v>
      </c>
      <c r="S52" s="61">
        <f t="shared" ref="S52:S53" si="47">IFERROR(M52/P52-1,"n/a")</f>
        <v>-0.15277777777777779</v>
      </c>
      <c r="T52" s="90">
        <v>121</v>
      </c>
      <c r="U52" s="71">
        <v>41</v>
      </c>
      <c r="V52" s="79">
        <v>361</v>
      </c>
    </row>
    <row r="53" spans="3:22" s="10" customFormat="1" ht="15" customHeight="1">
      <c r="C53" s="34"/>
      <c r="D53" s="27" t="s">
        <v>11</v>
      </c>
      <c r="E53" s="33"/>
      <c r="F53" s="75">
        <f t="shared" si="43"/>
        <v>59330</v>
      </c>
      <c r="G53" s="75">
        <f t="shared" si="43"/>
        <v>16203</v>
      </c>
      <c r="H53" s="72">
        <f t="shared" si="43"/>
        <v>8362</v>
      </c>
      <c r="I53" s="75">
        <f t="shared" si="43"/>
        <v>130501</v>
      </c>
      <c r="J53" s="65">
        <f t="shared" si="44"/>
        <v>2.6616675924211566</v>
      </c>
      <c r="K53" s="65">
        <f t="shared" si="45"/>
        <v>6.0951925376704139</v>
      </c>
      <c r="L53" s="61">
        <f t="shared" si="46"/>
        <v>-0.54536746844851769</v>
      </c>
      <c r="M53" s="83">
        <f>+M26-'Mar-22'!M23</f>
        <v>456816</v>
      </c>
      <c r="N53" s="83">
        <f>+N26-'Mar-22'!N23</f>
        <v>109254</v>
      </c>
      <c r="O53" s="83">
        <f>+O26-'Mar-22'!O23</f>
        <v>15441</v>
      </c>
      <c r="P53" s="83">
        <f>+P26-'Mar-22'!P23</f>
        <v>742409</v>
      </c>
      <c r="Q53" s="65">
        <f>IFERROR(M53/N53-1,"n/a")</f>
        <v>3.1812290625514859</v>
      </c>
      <c r="R53" s="65">
        <f>IFERROR(M53/O53-1,"n/a")</f>
        <v>28.584612395570236</v>
      </c>
      <c r="S53" s="61">
        <f t="shared" si="47"/>
        <v>-0.38468418351609424</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6" si="48">F28</f>
        <v>79</v>
      </c>
      <c r="G55" s="75">
        <f t="shared" si="48"/>
        <v>28</v>
      </c>
      <c r="H55" s="72">
        <f t="shared" si="48"/>
        <v>12</v>
      </c>
      <c r="I55" s="75">
        <f t="shared" si="48"/>
        <v>71</v>
      </c>
      <c r="J55" s="65">
        <f t="shared" ref="J55:J58" si="49">IFERROR(F55/G55-1,"n/a")</f>
        <v>1.8214285714285716</v>
      </c>
      <c r="K55" s="65">
        <f t="shared" ref="K55:K58" si="50">IFERROR(F55/H55-1,"n/a")</f>
        <v>5.583333333333333</v>
      </c>
      <c r="L55" s="61">
        <f t="shared" ref="L55:L58" si="51">IFERROR(F55/I55-1,"n/a")</f>
        <v>0.11267605633802824</v>
      </c>
      <c r="M55" s="71">
        <f>+M28-'Mar-22'!M25</f>
        <v>484</v>
      </c>
      <c r="N55" s="71">
        <f>+N28-'Mar-22'!N25</f>
        <v>104</v>
      </c>
      <c r="O55" s="71">
        <f>+O28-'Mar-22'!O25</f>
        <v>23</v>
      </c>
      <c r="P55" s="71">
        <f>+P28-'Mar-22'!P25</f>
        <v>324</v>
      </c>
      <c r="Q55" s="65">
        <f>IFERROR(M55/N55-1,"n/a")</f>
        <v>3.6538461538461542</v>
      </c>
      <c r="R55" s="65">
        <f>IFERROR(M55/O55-1,"n/a")</f>
        <v>20.043478260869566</v>
      </c>
      <c r="S55" s="61">
        <f t="shared" ref="S55:S58" si="52">IFERROR(M55/P55-1,"n/a")</f>
        <v>0.49382716049382713</v>
      </c>
      <c r="T55" s="90">
        <v>140</v>
      </c>
      <c r="U55" s="71">
        <v>40</v>
      </c>
      <c r="V55" s="79">
        <v>360</v>
      </c>
    </row>
    <row r="56" spans="3:22" ht="15.45" customHeight="1">
      <c r="C56" s="34"/>
      <c r="D56" s="27" t="s">
        <v>11</v>
      </c>
      <c r="E56" s="33"/>
      <c r="F56" s="75">
        <f t="shared" si="48"/>
        <v>122423</v>
      </c>
      <c r="G56" s="75">
        <f t="shared" si="48"/>
        <v>32614</v>
      </c>
      <c r="H56" s="72">
        <f t="shared" si="48"/>
        <v>5592</v>
      </c>
      <c r="I56" s="75">
        <f t="shared" si="48"/>
        <v>138907</v>
      </c>
      <c r="J56" s="65">
        <f t="shared" si="49"/>
        <v>2.7536947323235421</v>
      </c>
      <c r="K56" s="65">
        <f t="shared" si="50"/>
        <v>20.892525035765377</v>
      </c>
      <c r="L56" s="61">
        <f t="shared" si="51"/>
        <v>-0.11866932551995224</v>
      </c>
      <c r="M56" s="83">
        <f>+M29-'Mar-22'!M26</f>
        <v>804111</v>
      </c>
      <c r="N56" s="83">
        <f>+N29-'Mar-22'!N26</f>
        <v>148134</v>
      </c>
      <c r="O56" s="83">
        <f>+O29-'Mar-22'!O26</f>
        <v>15420</v>
      </c>
      <c r="P56" s="83">
        <f>+P29-'Mar-22'!P26</f>
        <v>833578</v>
      </c>
      <c r="Q56" s="65">
        <f>IFERROR(M56/N56-1,"n/a")</f>
        <v>4.4282676495605333</v>
      </c>
      <c r="R56" s="65">
        <f>IFERROR(M56/O56-1,"n/a")</f>
        <v>51.14727626459144</v>
      </c>
      <c r="S56" s="61">
        <f t="shared" si="52"/>
        <v>-3.5350021233765738E-2</v>
      </c>
      <c r="T56" s="83">
        <v>174336</v>
      </c>
      <c r="U56" s="85">
        <v>21928</v>
      </c>
      <c r="V56" s="79">
        <f>706948+155011</f>
        <v>861959</v>
      </c>
    </row>
    <row r="57" spans="3:22" ht="26.7" customHeight="1" thickBot="1">
      <c r="C57" s="36" t="s">
        <v>12</v>
      </c>
      <c r="D57" s="37"/>
      <c r="E57" s="38"/>
      <c r="F57" s="76">
        <f t="shared" ref="F57:I58" si="53">F40+F43+F46+F49+F52+F55</f>
        <v>406</v>
      </c>
      <c r="G57" s="76">
        <f t="shared" si="53"/>
        <v>249</v>
      </c>
      <c r="H57" s="76">
        <f t="shared" si="53"/>
        <v>20</v>
      </c>
      <c r="I57" s="76">
        <f t="shared" si="53"/>
        <v>393</v>
      </c>
      <c r="J57" s="67">
        <f t="shared" si="49"/>
        <v>0.63052208835341372</v>
      </c>
      <c r="K57" s="67">
        <f t="shared" si="50"/>
        <v>19.3</v>
      </c>
      <c r="L57" s="63">
        <f t="shared" si="51"/>
        <v>3.30788804071247E-2</v>
      </c>
      <c r="M57" s="47">
        <f t="shared" ref="M57:P58" si="54">M40+M43+M46+M49+M52+M55</f>
        <v>2376</v>
      </c>
      <c r="N57" s="47">
        <f t="shared" si="54"/>
        <v>619</v>
      </c>
      <c r="O57" s="47">
        <f t="shared" si="54"/>
        <v>81</v>
      </c>
      <c r="P57" s="47">
        <f t="shared" si="54"/>
        <v>2104</v>
      </c>
      <c r="Q57" s="67">
        <f>IFERROR(M57/N57-1,"n/a")</f>
        <v>2.8384491114701129</v>
      </c>
      <c r="R57" s="67">
        <f>IFERROR(M57/O57-1,"n/a")</f>
        <v>28.333333333333332</v>
      </c>
      <c r="S57" s="63">
        <f t="shared" si="52"/>
        <v>0.12927756653992395</v>
      </c>
      <c r="T57" s="47">
        <f t="shared" ref="T57:V58" si="55">T40+T43+T46+T49+T52+T55</f>
        <v>1682</v>
      </c>
      <c r="U57" s="47">
        <f t="shared" si="55"/>
        <v>679</v>
      </c>
      <c r="V57" s="81">
        <f t="shared" si="55"/>
        <v>3274</v>
      </c>
    </row>
    <row r="58" spans="3:22" ht="26.7" customHeight="1" thickTop="1" thickBot="1">
      <c r="C58" s="39" t="s">
        <v>13</v>
      </c>
      <c r="D58" s="40"/>
      <c r="E58" s="41"/>
      <c r="F58" s="77">
        <f t="shared" si="53"/>
        <v>850715</v>
      </c>
      <c r="G58" s="77">
        <f t="shared" si="53"/>
        <v>369553</v>
      </c>
      <c r="H58" s="77">
        <f t="shared" si="53"/>
        <v>13954</v>
      </c>
      <c r="I58" s="77">
        <f t="shared" si="53"/>
        <v>930242</v>
      </c>
      <c r="J58" s="68">
        <f t="shared" si="49"/>
        <v>1.3020108076514059</v>
      </c>
      <c r="K58" s="68">
        <f t="shared" si="50"/>
        <v>59.965672925326068</v>
      </c>
      <c r="L58" s="64">
        <f t="shared" si="51"/>
        <v>-8.549065726982874E-2</v>
      </c>
      <c r="M58" s="48">
        <f t="shared" si="54"/>
        <v>5199826</v>
      </c>
      <c r="N58" s="48">
        <f t="shared" si="54"/>
        <v>932442</v>
      </c>
      <c r="O58" s="48">
        <f t="shared" si="54"/>
        <v>30972</v>
      </c>
      <c r="P58" s="48">
        <f t="shared" si="54"/>
        <v>5994322</v>
      </c>
      <c r="Q58" s="68">
        <f>IFERROR(M58/N58-1,"n/a")</f>
        <v>4.5765677650727872</v>
      </c>
      <c r="R58" s="68">
        <f>IFERROR(M58/O58-1,"n/a")</f>
        <v>166.88796332170992</v>
      </c>
      <c r="S58" s="64">
        <f t="shared" si="52"/>
        <v>-0.13254142837171579</v>
      </c>
      <c r="T58" s="48">
        <f t="shared" si="55"/>
        <v>2411641</v>
      </c>
      <c r="U58" s="48">
        <f t="shared" si="55"/>
        <v>1324261</v>
      </c>
      <c r="V58" s="82">
        <f t="shared" si="55"/>
        <v>8654686</v>
      </c>
    </row>
    <row r="59" spans="3:22" ht="12" customHeight="1" thickTop="1"/>
    <row r="60" spans="3:22" ht="26.7" customHeight="1"/>
    <row r="61" spans="3:22" ht="26.7" customHeight="1"/>
    <row r="62" spans="3:22" ht="26.7" customHeight="1"/>
    <row r="63" spans="3:22" ht="26.7" customHeight="1"/>
    <row r="64" spans="3:22" ht="26.7" customHeight="1"/>
    <row r="65" ht="26.7"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4E824-240A-4CFB-AAEF-D7760037A696}">
  <sheetPr>
    <pageSetUpPr fitToPage="1"/>
  </sheetPr>
  <dimension ref="A1:AT59"/>
  <sheetViews>
    <sheetView showGridLines="0" zoomScale="110" zoomScaleNormal="110" zoomScalePageLayoutView="40" workbookViewId="0">
      <selection activeCell="P31" sqref="P31"/>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7" width="8.6640625" customWidth="1"/>
    <col min="18" max="18" width="9.109375" bestFit="1" customWidth="1"/>
    <col min="19"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88</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02" t="s">
        <v>22</v>
      </c>
      <c r="G9" s="102"/>
      <c r="H9" s="102"/>
      <c r="I9" s="102"/>
      <c r="J9" s="102"/>
      <c r="K9" s="102"/>
      <c r="L9" s="103"/>
      <c r="M9" s="104" t="s">
        <v>89</v>
      </c>
      <c r="N9" s="102"/>
      <c r="O9" s="102"/>
      <c r="P9" s="102"/>
      <c r="Q9" s="102"/>
      <c r="R9" s="102"/>
      <c r="S9" s="103"/>
      <c r="T9" s="104" t="s">
        <v>57</v>
      </c>
      <c r="U9" s="102"/>
      <c r="V9" s="105"/>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2</v>
      </c>
      <c r="G13" s="72">
        <v>3</v>
      </c>
      <c r="H13" s="72">
        <v>0</v>
      </c>
      <c r="I13" s="72">
        <v>3</v>
      </c>
      <c r="J13" s="65">
        <f t="shared" ref="J13:J31" si="0">IFERROR(F13/G13-1,"n/a")</f>
        <v>-0.33333333333333337</v>
      </c>
      <c r="K13" s="65" t="str">
        <f>IFERROR(F13/H13-1,"n/a")</f>
        <v>n/a</v>
      </c>
      <c r="L13" s="61">
        <f t="shared" ref="L13:L14" si="1">IFERROR(F13/I13-1,"n/a")</f>
        <v>-0.33333333333333337</v>
      </c>
      <c r="M13" s="69">
        <f>F13+'Aug-22'!M13</f>
        <v>229</v>
      </c>
      <c r="N13" s="69">
        <f>G13+'Aug-22'!N13</f>
        <v>16</v>
      </c>
      <c r="O13" s="69">
        <f>H13+'Aug-22'!O13</f>
        <v>145</v>
      </c>
      <c r="P13" s="69">
        <f>I13+'Aug-22'!P13</f>
        <v>253</v>
      </c>
      <c r="Q13" s="65">
        <f>IFERROR(M13/N13-1,"n/a")</f>
        <v>13.3125</v>
      </c>
      <c r="R13" s="65">
        <f>IFERROR(M13/O13-1,"n/a")</f>
        <v>0.57931034482758625</v>
      </c>
      <c r="S13" s="61">
        <f>IFERROR(M13/P13-1,"n/a")</f>
        <v>-9.4861660079051391E-2</v>
      </c>
      <c r="T13" s="69">
        <v>111</v>
      </c>
      <c r="U13" s="71">
        <v>145</v>
      </c>
      <c r="V13" s="79">
        <v>386</v>
      </c>
    </row>
    <row r="14" spans="1:38" ht="14.4">
      <c r="A14" s="10"/>
      <c r="B14" s="13"/>
      <c r="C14" s="34"/>
      <c r="D14" s="27" t="s">
        <v>11</v>
      </c>
      <c r="E14" s="33"/>
      <c r="F14" s="75">
        <v>4913</v>
      </c>
      <c r="G14" s="72">
        <v>1618</v>
      </c>
      <c r="H14" s="72">
        <v>0</v>
      </c>
      <c r="I14" s="72">
        <v>11148</v>
      </c>
      <c r="J14" s="65">
        <f t="shared" si="0"/>
        <v>2.0364647713226205</v>
      </c>
      <c r="K14" s="65" t="str">
        <f t="shared" ref="K14" si="2">IFERROR(F14/H14-1,"n/a")</f>
        <v>n/a</v>
      </c>
      <c r="L14" s="61">
        <f t="shared" si="1"/>
        <v>-0.55929314675278075</v>
      </c>
      <c r="M14" s="69">
        <f>F14+'Aug-22'!M14</f>
        <v>199082</v>
      </c>
      <c r="N14" s="69">
        <f>G14+'Aug-22'!N14</f>
        <v>4201</v>
      </c>
      <c r="O14" s="69">
        <f>H14+'Aug-22'!O14</f>
        <v>258885</v>
      </c>
      <c r="P14" s="69">
        <f>I14+'Aug-22'!P14</f>
        <v>492279</v>
      </c>
      <c r="Q14" s="65">
        <f>IFERROR(M14/N14-1,"n/a")</f>
        <v>46.389193049273985</v>
      </c>
      <c r="R14" s="65">
        <f>IFERROR(M14/O14-1,"n/a")</f>
        <v>-0.23100218243621684</v>
      </c>
      <c r="S14" s="61">
        <f>IFERROR(M14/P14-1,"n/a")</f>
        <v>-0.59559111804484854</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79</v>
      </c>
      <c r="G16" s="72">
        <v>46</v>
      </c>
      <c r="H16" s="72">
        <v>0</v>
      </c>
      <c r="I16" s="72">
        <v>86</v>
      </c>
      <c r="J16" s="65">
        <f t="shared" si="0"/>
        <v>0.71739130434782616</v>
      </c>
      <c r="K16" s="65" t="str">
        <f t="shared" ref="K16:K17" si="3">IFERROR(F16/H16-1,"n/a")</f>
        <v>n/a</v>
      </c>
      <c r="L16" s="61">
        <f t="shared" ref="L16:L17" si="4">IFERROR(F16/I16-1,"n/a")</f>
        <v>-8.1395348837209336E-2</v>
      </c>
      <c r="M16" s="69">
        <f>F16+'Aug-22'!M16</f>
        <v>527</v>
      </c>
      <c r="N16" s="69">
        <f>G16+'Aug-22'!N16</f>
        <v>84</v>
      </c>
      <c r="O16" s="69">
        <f>H16+'Aug-22'!O16</f>
        <v>43</v>
      </c>
      <c r="P16" s="69">
        <f>I16+'Aug-22'!P16</f>
        <v>585</v>
      </c>
      <c r="Q16" s="65">
        <f t="shared" ref="Q16:Q17" si="5">IFERROR(M16/N16-1,"n/a")</f>
        <v>5.2738095238095237</v>
      </c>
      <c r="R16" s="65">
        <f t="shared" ref="R16:R17" si="6">IFERROR(M16/O16-1,"n/a")</f>
        <v>11.255813953488373</v>
      </c>
      <c r="S16" s="61">
        <f t="shared" ref="S16:S17" si="7">IFERROR(M16/P16-1,"n/a")</f>
        <v>-9.9145299145299126E-2</v>
      </c>
      <c r="T16" s="69">
        <v>283</v>
      </c>
      <c r="U16" s="71">
        <v>43</v>
      </c>
      <c r="V16" s="79">
        <v>827</v>
      </c>
    </row>
    <row r="17" spans="1:38" ht="14.4">
      <c r="A17" s="10"/>
      <c r="B17" s="13"/>
      <c r="C17" s="34"/>
      <c r="D17" s="27" t="s">
        <v>11</v>
      </c>
      <c r="E17" s="33"/>
      <c r="F17" s="75">
        <v>249427</v>
      </c>
      <c r="G17" s="72">
        <v>89719</v>
      </c>
      <c r="H17" s="72">
        <v>0</v>
      </c>
      <c r="I17" s="72">
        <v>304036</v>
      </c>
      <c r="J17" s="65">
        <f t="shared" si="0"/>
        <v>1.7800911735529823</v>
      </c>
      <c r="K17" s="65" t="str">
        <f t="shared" si="3"/>
        <v>n/a</v>
      </c>
      <c r="L17" s="61">
        <f t="shared" si="4"/>
        <v>-0.1796135983896644</v>
      </c>
      <c r="M17" s="69">
        <f>F17+'Aug-22'!M17</f>
        <v>1281730</v>
      </c>
      <c r="N17" s="69">
        <f>G17+'Aug-22'!N17</f>
        <v>167883</v>
      </c>
      <c r="O17" s="69">
        <f>H17+'Aug-22'!O17</f>
        <v>140552</v>
      </c>
      <c r="P17" s="69">
        <f>I17+'Aug-22'!P17</f>
        <v>1897444</v>
      </c>
      <c r="Q17" s="65">
        <f t="shared" si="5"/>
        <v>6.6346622350089053</v>
      </c>
      <c r="R17" s="65">
        <f t="shared" si="6"/>
        <v>8.1192583527804665</v>
      </c>
      <c r="S17" s="61">
        <f t="shared" si="7"/>
        <v>-0.32449653323102023</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64</v>
      </c>
      <c r="G19" s="72">
        <v>2</v>
      </c>
      <c r="H19" s="72">
        <v>0</v>
      </c>
      <c r="I19" s="72">
        <v>23</v>
      </c>
      <c r="J19" s="65">
        <f t="shared" si="0"/>
        <v>31</v>
      </c>
      <c r="K19" s="65" t="str">
        <f t="shared" ref="K19:K20" si="8">IFERROR(F19/H19-1,"n/a")</f>
        <v>n/a</v>
      </c>
      <c r="L19" s="61">
        <f>IFERROR(F19/I19-1,"n/a")</f>
        <v>1.7826086956521738</v>
      </c>
      <c r="M19" s="69">
        <f>F19+'Aug-22'!M19</f>
        <v>359</v>
      </c>
      <c r="N19" s="69">
        <f>G19+'Aug-22'!N19</f>
        <v>2</v>
      </c>
      <c r="O19" s="69">
        <f>H19+'Aug-22'!O19</f>
        <v>4</v>
      </c>
      <c r="P19" s="69">
        <f>I19+'Aug-22'!P19</f>
        <v>151</v>
      </c>
      <c r="Q19" s="65">
        <f t="shared" ref="Q19:Q20" si="9">IFERROR(M19/N19-1,"n/a")</f>
        <v>178.5</v>
      </c>
      <c r="R19" s="65">
        <f t="shared" ref="R19:R20" si="10">IFERROR(M19/O19-1,"n/a")</f>
        <v>88.75</v>
      </c>
      <c r="S19" s="61">
        <f t="shared" ref="S19:S20" si="11">IFERROR(M19/P19-1,"n/a")</f>
        <v>1.3774834437086092</v>
      </c>
      <c r="T19" s="69">
        <v>23</v>
      </c>
      <c r="U19" s="71">
        <v>4</v>
      </c>
      <c r="V19" s="79">
        <v>191</v>
      </c>
    </row>
    <row r="20" spans="1:38" ht="14.4">
      <c r="A20" s="10"/>
      <c r="B20" s="13"/>
      <c r="C20" s="34"/>
      <c r="D20" s="27" t="s">
        <v>11</v>
      </c>
      <c r="E20" s="33"/>
      <c r="F20" s="75">
        <f>66521+13725</f>
        <v>80246</v>
      </c>
      <c r="G20" s="72">
        <v>424</v>
      </c>
      <c r="H20" s="72">
        <v>0</v>
      </c>
      <c r="I20" s="72">
        <v>35836</v>
      </c>
      <c r="J20" s="65">
        <f t="shared" si="0"/>
        <v>188.25943396226415</v>
      </c>
      <c r="K20" s="65" t="str">
        <f t="shared" si="8"/>
        <v>n/a</v>
      </c>
      <c r="L20" s="61">
        <f t="shared" ref="L20:L31" si="12">IFERROR(F20/I20-1,"n/a")</f>
        <v>1.2392566134613237</v>
      </c>
      <c r="M20" s="69">
        <f>F20+'Aug-22'!M20</f>
        <v>422480</v>
      </c>
      <c r="N20" s="69">
        <f>G20+'Aug-22'!N20</f>
        <v>424</v>
      </c>
      <c r="O20" s="69">
        <f>H20+'Aug-22'!O20</f>
        <v>1753</v>
      </c>
      <c r="P20" s="69">
        <f>I20+'Aug-22'!P20</f>
        <v>203378</v>
      </c>
      <c r="Q20" s="65">
        <f t="shared" si="9"/>
        <v>995.41509433962267</v>
      </c>
      <c r="R20" s="65">
        <f t="shared" si="10"/>
        <v>240.00399315459214</v>
      </c>
      <c r="S20" s="61">
        <f t="shared" si="11"/>
        <v>1.0773141637738597</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5">
        <v>80</v>
      </c>
      <c r="G22" s="72">
        <v>57</v>
      </c>
      <c r="H22" s="72">
        <v>0</v>
      </c>
      <c r="I22" s="72">
        <v>76</v>
      </c>
      <c r="J22" s="65">
        <f t="shared" si="0"/>
        <v>0.40350877192982448</v>
      </c>
      <c r="K22" s="65" t="str">
        <f t="shared" ref="K22:K23" si="13">IFERROR(F22/H22-1,"n/a")</f>
        <v>n/a</v>
      </c>
      <c r="L22" s="61">
        <f t="shared" si="12"/>
        <v>5.2631578947368363E-2</v>
      </c>
      <c r="M22" s="69">
        <f>F22+'Aug-22'!M22</f>
        <v>844</v>
      </c>
      <c r="N22" s="69">
        <f>G22+'Aug-22'!N22</f>
        <v>130</v>
      </c>
      <c r="O22" s="69">
        <f>H22+'Aug-22'!O22</f>
        <v>406</v>
      </c>
      <c r="P22" s="69">
        <f>I22+'Aug-22'!P22</f>
        <v>856</v>
      </c>
      <c r="Q22" s="65">
        <f t="shared" ref="Q22:Q23" si="14">IFERROR(M22/N22-1,"n/a")</f>
        <v>5.4923076923076923</v>
      </c>
      <c r="R22" s="65">
        <f t="shared" ref="R22:R23" si="15">IFERROR(M22/O22-1,"n/a")</f>
        <v>1.0788177339901477</v>
      </c>
      <c r="S22" s="61">
        <f t="shared" ref="S22:S23" si="16">IFERROR(M22/P22-1,"n/a")</f>
        <v>-1.4018691588784993E-2</v>
      </c>
      <c r="T22" s="69">
        <v>411</v>
      </c>
      <c r="U22" s="71">
        <v>406</v>
      </c>
      <c r="V22" s="79">
        <v>1205</v>
      </c>
    </row>
    <row r="23" spans="1:38" ht="14.4">
      <c r="A23" s="10"/>
      <c r="B23" s="13"/>
      <c r="C23" s="34"/>
      <c r="D23" s="27" t="s">
        <v>11</v>
      </c>
      <c r="E23" s="33"/>
      <c r="F23" s="75">
        <v>275667</v>
      </c>
      <c r="G23" s="72">
        <v>81777</v>
      </c>
      <c r="H23" s="72">
        <v>0</v>
      </c>
      <c r="I23" s="72">
        <v>223305</v>
      </c>
      <c r="J23" s="65">
        <f t="shared" si="0"/>
        <v>2.3709600498917789</v>
      </c>
      <c r="K23" s="65" t="str">
        <f t="shared" si="13"/>
        <v>n/a</v>
      </c>
      <c r="L23" s="61">
        <f t="shared" si="12"/>
        <v>0.23448646470074563</v>
      </c>
      <c r="M23" s="69">
        <f>F23+'Aug-22'!M23</f>
        <v>2196229</v>
      </c>
      <c r="N23" s="69">
        <f>G23+'Aug-22'!N23</f>
        <v>181810</v>
      </c>
      <c r="O23" s="69">
        <f>H23+'Aug-22'!O23</f>
        <v>833999</v>
      </c>
      <c r="P23" s="69">
        <f>I23+'Aug-22'!P23</f>
        <v>2872542</v>
      </c>
      <c r="Q23" s="65">
        <f t="shared" si="14"/>
        <v>11.079803091139102</v>
      </c>
      <c r="R23" s="65">
        <f t="shared" si="15"/>
        <v>1.6333712630350874</v>
      </c>
      <c r="S23" s="61">
        <f t="shared" si="16"/>
        <v>-0.2354405958207052</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4">
        <v>34</v>
      </c>
      <c r="G25" s="72">
        <v>17</v>
      </c>
      <c r="H25" s="72">
        <v>5</v>
      </c>
      <c r="I25" s="72">
        <v>40</v>
      </c>
      <c r="J25" s="65">
        <f t="shared" si="0"/>
        <v>1</v>
      </c>
      <c r="K25" s="65">
        <f t="shared" ref="K25:K26" si="17">IFERROR(F25/H25-1,"n/a")</f>
        <v>5.8</v>
      </c>
      <c r="L25" s="61">
        <f t="shared" si="12"/>
        <v>-0.15000000000000002</v>
      </c>
      <c r="M25" s="69">
        <f>F25+'Aug-22'!M25</f>
        <v>222</v>
      </c>
      <c r="N25" s="69">
        <f>G25+'Aug-22'!N25</f>
        <v>71</v>
      </c>
      <c r="O25" s="69">
        <f>H25+'Aug-22'!O25</f>
        <v>16</v>
      </c>
      <c r="P25" s="69">
        <f>I25+'Aug-22'!P25</f>
        <v>244</v>
      </c>
      <c r="Q25" s="65">
        <f t="shared" ref="Q25:Q26" si="18">IFERROR(M25/N25-1,"n/a")</f>
        <v>2.1267605633802815</v>
      </c>
      <c r="R25" s="65">
        <f t="shared" ref="R25:R26" si="19">IFERROR(M25/O25-1,"n/a")</f>
        <v>12.875</v>
      </c>
      <c r="S25" s="61">
        <f t="shared" ref="S25:S26" si="20">IFERROR(M25/P25-1,"n/a")</f>
        <v>-9.0163934426229497E-2</v>
      </c>
      <c r="T25" s="69">
        <v>107</v>
      </c>
      <c r="U25" s="71">
        <v>32</v>
      </c>
      <c r="V25" s="79">
        <v>372</v>
      </c>
    </row>
    <row r="26" spans="1:38" ht="14.4">
      <c r="A26" s="10"/>
      <c r="B26" s="13"/>
      <c r="C26" s="34"/>
      <c r="D26" s="27" t="s">
        <v>11</v>
      </c>
      <c r="E26" s="33"/>
      <c r="F26" s="74">
        <v>77500</v>
      </c>
      <c r="G26" s="72">
        <v>31465</v>
      </c>
      <c r="H26" s="72">
        <v>4538</v>
      </c>
      <c r="I26" s="72">
        <v>102143</v>
      </c>
      <c r="J26" s="65">
        <f t="shared" si="0"/>
        <v>1.4630541871921183</v>
      </c>
      <c r="K26" s="65">
        <f t="shared" si="17"/>
        <v>16.078007933010138</v>
      </c>
      <c r="L26" s="61">
        <f t="shared" si="12"/>
        <v>-0.24125980243384271</v>
      </c>
      <c r="M26" s="69">
        <f>F26+'Aug-22'!M26</f>
        <v>424007</v>
      </c>
      <c r="N26" s="69">
        <f>G26+'Aug-22'!N26</f>
        <v>101015</v>
      </c>
      <c r="O26" s="69">
        <f>H26+'Aug-22'!O26</f>
        <v>47300</v>
      </c>
      <c r="P26" s="69">
        <f>I26+'Aug-22'!P26</f>
        <v>688183</v>
      </c>
      <c r="Q26" s="65">
        <f t="shared" si="18"/>
        <v>3.1974657229124386</v>
      </c>
      <c r="R26" s="65">
        <f t="shared" si="19"/>
        <v>7.9642071881606764</v>
      </c>
      <c r="S26" s="61">
        <f t="shared" si="20"/>
        <v>-0.38387463799599819</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75</v>
      </c>
      <c r="G28" s="72">
        <v>23</v>
      </c>
      <c r="H28" s="72">
        <v>7</v>
      </c>
      <c r="I28" s="72">
        <v>41</v>
      </c>
      <c r="J28" s="65">
        <f t="shared" si="0"/>
        <v>2.2608695652173911</v>
      </c>
      <c r="K28" s="65">
        <f t="shared" ref="K28:K31" si="21">IFERROR(F28/H28-1,"n/a")</f>
        <v>9.7142857142857135</v>
      </c>
      <c r="L28" s="61">
        <f t="shared" si="12"/>
        <v>0.8292682926829269</v>
      </c>
      <c r="M28" s="69">
        <f>F28+'Aug-22'!M28</f>
        <v>421</v>
      </c>
      <c r="N28" s="69">
        <f>G28+'Aug-22'!N28</f>
        <v>79</v>
      </c>
      <c r="O28" s="69">
        <f>H28+'Aug-22'!O28</f>
        <v>12</v>
      </c>
      <c r="P28" s="69">
        <f>I28+'Aug-22'!P28</f>
        <v>257</v>
      </c>
      <c r="Q28" s="65">
        <f t="shared" ref="Q28:Q31" si="22">IFERROR(M28/N28-1,"n/a")</f>
        <v>4.3291139240506329</v>
      </c>
      <c r="R28" s="65">
        <f t="shared" ref="R28:R31" si="23">IFERROR(M28/O28-1,"n/a")</f>
        <v>34.083333333333336</v>
      </c>
      <c r="S28" s="61">
        <f t="shared" ref="S28:S31" si="24">IFERROR(M28/P28-1,"n/a")</f>
        <v>0.63813229571984431</v>
      </c>
      <c r="T28" s="69">
        <v>124</v>
      </c>
      <c r="U28" s="71">
        <v>37</v>
      </c>
      <c r="V28" s="79">
        <f>282+81</f>
        <v>363</v>
      </c>
    </row>
    <row r="29" spans="1:38" ht="14.4">
      <c r="A29" s="10"/>
      <c r="B29" s="13"/>
      <c r="C29" s="34"/>
      <c r="D29" s="27" t="s">
        <v>11</v>
      </c>
      <c r="E29" s="33"/>
      <c r="F29" s="75">
        <f>130831+18300+983</f>
        <v>150114</v>
      </c>
      <c r="G29" s="72">
        <v>35845</v>
      </c>
      <c r="H29" s="72">
        <v>1534</v>
      </c>
      <c r="I29" s="72">
        <v>107800</v>
      </c>
      <c r="J29" s="65">
        <f t="shared" si="0"/>
        <v>3.1878644162365743</v>
      </c>
      <c r="K29" s="65">
        <f t="shared" si="21"/>
        <v>96.857887874837033</v>
      </c>
      <c r="L29" s="61">
        <f t="shared" si="12"/>
        <v>0.39252319109461964</v>
      </c>
      <c r="M29" s="69">
        <f>F29+'Aug-22'!M29</f>
        <v>693288</v>
      </c>
      <c r="N29" s="69">
        <f>G29+'Aug-22'!N29</f>
        <v>117659</v>
      </c>
      <c r="O29" s="69">
        <f>H29+'Aug-22'!O29</f>
        <v>10720</v>
      </c>
      <c r="P29" s="69">
        <f>I29+'Aug-22'!P29</f>
        <v>700780</v>
      </c>
      <c r="Q29" s="65">
        <f t="shared" si="22"/>
        <v>4.8923499264824617</v>
      </c>
      <c r="R29" s="65">
        <f t="shared" si="23"/>
        <v>63.67238805970149</v>
      </c>
      <c r="S29" s="61">
        <f t="shared" si="24"/>
        <v>-1.0690944376266498E-2</v>
      </c>
      <c r="T29" s="69">
        <v>165083</v>
      </c>
      <c r="U29" s="71">
        <f>20768+8294</f>
        <v>29062</v>
      </c>
      <c r="V29" s="79">
        <f>659951+168729+38484</f>
        <v>867164</v>
      </c>
    </row>
    <row r="30" spans="1:38" ht="15" customHeight="1" thickBot="1">
      <c r="A30" s="10"/>
      <c r="B30" s="13"/>
      <c r="C30" s="36" t="s">
        <v>12</v>
      </c>
      <c r="D30" s="37"/>
      <c r="E30" s="38"/>
      <c r="F30" s="76">
        <f t="shared" ref="F30:I31" si="25">F13+F16+F19+F22+F25+F28</f>
        <v>334</v>
      </c>
      <c r="G30" s="76">
        <f t="shared" si="25"/>
        <v>148</v>
      </c>
      <c r="H30" s="76">
        <f t="shared" si="25"/>
        <v>12</v>
      </c>
      <c r="I30" s="76">
        <f t="shared" si="25"/>
        <v>269</v>
      </c>
      <c r="J30" s="67">
        <f t="shared" si="0"/>
        <v>1.2567567567567566</v>
      </c>
      <c r="K30" s="67">
        <f t="shared" si="21"/>
        <v>26.833333333333332</v>
      </c>
      <c r="L30" s="63">
        <f t="shared" si="12"/>
        <v>0.24163568773234201</v>
      </c>
      <c r="M30" s="47">
        <f t="shared" ref="M30:P31" si="26">M13+M16+M19+M22+M25+M28</f>
        <v>2602</v>
      </c>
      <c r="N30" s="47">
        <f t="shared" si="26"/>
        <v>382</v>
      </c>
      <c r="O30" s="47">
        <f t="shared" si="26"/>
        <v>626</v>
      </c>
      <c r="P30" s="47">
        <f t="shared" si="26"/>
        <v>2346</v>
      </c>
      <c r="Q30" s="67">
        <f t="shared" si="22"/>
        <v>5.8115183246073299</v>
      </c>
      <c r="R30" s="67">
        <f t="shared" si="23"/>
        <v>3.1565495207667729</v>
      </c>
      <c r="S30" s="63">
        <f t="shared" si="24"/>
        <v>0.10912190963341861</v>
      </c>
      <c r="T30" s="47">
        <f t="shared" ref="T30:V31" si="27">T13+T16+T19+T22+T25+T28</f>
        <v>1059</v>
      </c>
      <c r="U30" s="47">
        <f t="shared" si="27"/>
        <v>667</v>
      </c>
      <c r="V30" s="81">
        <f t="shared" si="27"/>
        <v>3344</v>
      </c>
    </row>
    <row r="31" spans="1:38" s="23" customFormat="1" ht="15" customHeight="1" thickTop="1" thickBot="1">
      <c r="A31" s="10"/>
      <c r="B31" s="13"/>
      <c r="C31" s="39" t="s">
        <v>13</v>
      </c>
      <c r="D31" s="40"/>
      <c r="E31" s="41"/>
      <c r="F31" s="77">
        <f t="shared" si="25"/>
        <v>837867</v>
      </c>
      <c r="G31" s="77">
        <f t="shared" si="25"/>
        <v>240848</v>
      </c>
      <c r="H31" s="77">
        <f t="shared" si="25"/>
        <v>6072</v>
      </c>
      <c r="I31" s="77">
        <f t="shared" si="25"/>
        <v>784268</v>
      </c>
      <c r="J31" s="68">
        <f t="shared" si="0"/>
        <v>2.4788206669766826</v>
      </c>
      <c r="K31" s="68">
        <f t="shared" si="21"/>
        <v>136.98863636363637</v>
      </c>
      <c r="L31" s="64">
        <f t="shared" si="12"/>
        <v>6.8342709379956901E-2</v>
      </c>
      <c r="M31" s="48">
        <f t="shared" si="26"/>
        <v>5216816</v>
      </c>
      <c r="N31" s="48">
        <f t="shared" si="26"/>
        <v>572992</v>
      </c>
      <c r="O31" s="48">
        <f t="shared" si="26"/>
        <v>1293209</v>
      </c>
      <c r="P31" s="48">
        <f t="shared" si="26"/>
        <v>6854606</v>
      </c>
      <c r="Q31" s="68">
        <f t="shared" si="22"/>
        <v>8.1045180386462636</v>
      </c>
      <c r="R31" s="68">
        <f t="shared" si="23"/>
        <v>3.0340084240057097</v>
      </c>
      <c r="S31" s="64">
        <f t="shared" si="24"/>
        <v>-0.2389327701694306</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42"/>
      <c r="L33" s="10"/>
      <c r="M33" s="10"/>
      <c r="N33" s="10"/>
      <c r="O33" s="10"/>
      <c r="P33" s="10"/>
      <c r="Q33" s="10"/>
      <c r="R33" s="10"/>
      <c r="S33" s="10"/>
      <c r="T33" s="10"/>
      <c r="U33" s="10"/>
      <c r="V33" s="10"/>
    </row>
    <row r="34" spans="1:22" ht="14.4">
      <c r="A34" s="10"/>
      <c r="B34" s="11"/>
      <c r="C34" s="87" t="s">
        <v>63</v>
      </c>
      <c r="D34" s="25"/>
      <c r="E34" s="25"/>
      <c r="F34" s="25"/>
      <c r="G34" s="25"/>
      <c r="H34" s="25"/>
      <c r="I34" s="101"/>
      <c r="J34" s="101"/>
      <c r="K34" s="101"/>
      <c r="L34" s="25"/>
      <c r="M34" s="25"/>
      <c r="N34" s="25"/>
      <c r="O34" s="25"/>
      <c r="P34" s="25"/>
      <c r="Q34" s="25"/>
      <c r="R34" s="25"/>
      <c r="S34" s="25"/>
      <c r="T34" s="25"/>
      <c r="U34" s="25"/>
      <c r="V34" s="25"/>
    </row>
    <row r="35" spans="1:22" ht="14.4">
      <c r="A35" s="10"/>
      <c r="B35" s="11"/>
      <c r="C35" s="25"/>
      <c r="D35" s="25"/>
      <c r="E35" s="25"/>
      <c r="F35" s="25"/>
      <c r="G35" s="25"/>
      <c r="H35" s="25"/>
      <c r="I35" s="101"/>
      <c r="J35" s="101"/>
      <c r="K35" s="101"/>
      <c r="L35" s="25"/>
      <c r="M35" s="25"/>
      <c r="N35" s="25"/>
      <c r="O35" s="25"/>
      <c r="P35" s="25"/>
      <c r="Q35" s="25"/>
      <c r="R35" s="25"/>
      <c r="S35" s="25"/>
      <c r="T35" s="25"/>
      <c r="U35" s="25"/>
      <c r="V35" s="25"/>
    </row>
    <row r="36" spans="1:22" ht="15" customHeight="1">
      <c r="A36" s="10"/>
      <c r="B36" s="10"/>
      <c r="C36" s="28" t="s">
        <v>7</v>
      </c>
      <c r="D36" s="29"/>
      <c r="E36" s="29"/>
      <c r="F36" s="102" t="str">
        <f>F9</f>
        <v>September</v>
      </c>
      <c r="G36" s="102"/>
      <c r="H36" s="102"/>
      <c r="I36" s="102"/>
      <c r="J36" s="102"/>
      <c r="K36" s="102"/>
      <c r="L36" s="103"/>
      <c r="M36" s="104" t="s">
        <v>90</v>
      </c>
      <c r="N36" s="102"/>
      <c r="O36" s="102"/>
      <c r="P36" s="102"/>
      <c r="Q36" s="102"/>
      <c r="R36" s="102"/>
      <c r="S36" s="103"/>
      <c r="T36" s="104" t="s">
        <v>58</v>
      </c>
      <c r="U36" s="102"/>
      <c r="V36" s="105"/>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2</v>
      </c>
      <c r="G40" s="75">
        <f t="shared" ref="G40:I40" si="28">G13</f>
        <v>3</v>
      </c>
      <c r="H40" s="72">
        <f t="shared" si="28"/>
        <v>0</v>
      </c>
      <c r="I40" s="72">
        <f t="shared" si="28"/>
        <v>3</v>
      </c>
      <c r="J40" s="65">
        <f t="shared" ref="J40:J41" si="29">IFERROR(F40/G40-1,"n/a")</f>
        <v>-0.33333333333333337</v>
      </c>
      <c r="K40" s="65" t="str">
        <f>IFERROR(F40/H40-1,"n/a")</f>
        <v>n/a</v>
      </c>
      <c r="L40" s="61">
        <f t="shared" ref="L40:L41" si="30">IFERROR(F40/I40-1,"n/a")</f>
        <v>-0.33333333333333337</v>
      </c>
      <c r="M40" s="71">
        <f>+M13-'Mar-22'!M10</f>
        <v>32</v>
      </c>
      <c r="N40" s="71">
        <f>+N13-'Mar-22'!N10</f>
        <v>16</v>
      </c>
      <c r="O40" s="83">
        <f>+O13-'Mar-22'!O10</f>
        <v>0</v>
      </c>
      <c r="P40" s="71">
        <f>+P13-'Mar-22'!P10</f>
        <v>53</v>
      </c>
      <c r="Q40" s="65">
        <f>IFERROR(M40/N40-1,"n/a")</f>
        <v>1</v>
      </c>
      <c r="R40" s="65" t="str">
        <f>IFERROR(M40/O40-1,"n/a")</f>
        <v>n/a</v>
      </c>
      <c r="S40" s="61">
        <f>IFERROR(M40/P40-1,"n/a")</f>
        <v>-0.39622641509433965</v>
      </c>
      <c r="T40" s="90">
        <v>308</v>
      </c>
      <c r="U40" s="71">
        <v>145</v>
      </c>
      <c r="V40" s="79">
        <v>331</v>
      </c>
    </row>
    <row r="41" spans="1:22" s="10" customFormat="1" ht="15" customHeight="1">
      <c r="C41" s="34"/>
      <c r="D41" s="27" t="s">
        <v>11</v>
      </c>
      <c r="E41" s="33"/>
      <c r="F41" s="75">
        <f t="shared" ref="F41:I41" si="31">F14</f>
        <v>4913</v>
      </c>
      <c r="G41" s="75">
        <f t="shared" si="31"/>
        <v>1618</v>
      </c>
      <c r="H41" s="72">
        <f t="shared" si="31"/>
        <v>0</v>
      </c>
      <c r="I41" s="75">
        <f t="shared" si="31"/>
        <v>11148</v>
      </c>
      <c r="J41" s="65">
        <f t="shared" si="29"/>
        <v>2.0364647713226205</v>
      </c>
      <c r="K41" s="65" t="str">
        <f t="shared" ref="K41" si="32">IFERROR(F41/H41-1,"n/a")</f>
        <v>n/a</v>
      </c>
      <c r="L41" s="61">
        <f t="shared" si="30"/>
        <v>-0.55929314675278075</v>
      </c>
      <c r="M41" s="83">
        <f>+M14-'Mar-22'!M11</f>
        <v>42754</v>
      </c>
      <c r="N41" s="83">
        <f>+N14-'Mar-22'!N11</f>
        <v>4201</v>
      </c>
      <c r="O41" s="83">
        <f>+O14-'Mar-22'!O11</f>
        <v>0</v>
      </c>
      <c r="P41" s="83">
        <f>+P14-'Mar-22'!P11</f>
        <v>106899</v>
      </c>
      <c r="Q41" s="65">
        <f>IFERROR(M41/N41-1,"n/a")</f>
        <v>9.1771006903118302</v>
      </c>
      <c r="R41" s="65" t="str">
        <f>IFERROR(M41/O41-1,"n/a")</f>
        <v>n/a</v>
      </c>
      <c r="S41" s="61">
        <f>IFERROR(M41/P41-1,"n/a")</f>
        <v>-0.60005238589696819</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79</v>
      </c>
      <c r="G43" s="75">
        <f t="shared" si="33"/>
        <v>46</v>
      </c>
      <c r="H43" s="72">
        <f t="shared" si="33"/>
        <v>0</v>
      </c>
      <c r="I43" s="75">
        <f t="shared" si="33"/>
        <v>86</v>
      </c>
      <c r="J43" s="65">
        <f t="shared" ref="J43:J44" si="34">IFERROR(F43/G43-1,"n/a")</f>
        <v>0.71739130434782616</v>
      </c>
      <c r="K43" s="65" t="str">
        <f t="shared" ref="K43:K44" si="35">IFERROR(F43/H43-1,"n/a")</f>
        <v>n/a</v>
      </c>
      <c r="L43" s="61">
        <f t="shared" ref="L43:L44" si="36">IFERROR(F43/I43-1,"n/a")</f>
        <v>-8.1395348837209336E-2</v>
      </c>
      <c r="M43" s="71">
        <f>+M16-'Mar-22'!M13</f>
        <v>474</v>
      </c>
      <c r="N43" s="71">
        <f>+N16-'Mar-22'!N13</f>
        <v>84</v>
      </c>
      <c r="O43" s="83">
        <f>+O16-'Mar-22'!O13</f>
        <v>0</v>
      </c>
      <c r="P43" s="71">
        <f>+P16-'Mar-22'!P13</f>
        <v>496</v>
      </c>
      <c r="Q43" s="65">
        <f>IFERROR(M43/N43-1,"n/a")</f>
        <v>4.6428571428571432</v>
      </c>
      <c r="R43" s="65" t="str">
        <f>IFERROR(M43/O43-1,"n/a")</f>
        <v>n/a</v>
      </c>
      <c r="S43" s="61">
        <f t="shared" ref="S43:S44" si="37">IFERROR(M43/P43-1,"n/a")</f>
        <v>-4.435483870967738E-2</v>
      </c>
      <c r="T43" s="90">
        <v>336</v>
      </c>
      <c r="U43" s="71">
        <v>43</v>
      </c>
      <c r="V43" s="79">
        <v>781</v>
      </c>
    </row>
    <row r="44" spans="1:22" s="10" customFormat="1" ht="15" customHeight="1">
      <c r="C44" s="34"/>
      <c r="D44" s="27" t="s">
        <v>11</v>
      </c>
      <c r="E44" s="33"/>
      <c r="F44" s="75">
        <f t="shared" si="33"/>
        <v>249427</v>
      </c>
      <c r="G44" s="75">
        <f t="shared" si="33"/>
        <v>89719</v>
      </c>
      <c r="H44" s="72">
        <f t="shared" si="33"/>
        <v>0</v>
      </c>
      <c r="I44" s="75">
        <f t="shared" si="33"/>
        <v>304036</v>
      </c>
      <c r="J44" s="65">
        <f t="shared" si="34"/>
        <v>1.7800911735529823</v>
      </c>
      <c r="K44" s="65" t="str">
        <f t="shared" si="35"/>
        <v>n/a</v>
      </c>
      <c r="L44" s="61">
        <f t="shared" si="36"/>
        <v>-0.1796135983896644</v>
      </c>
      <c r="M44" s="83">
        <f>+M17-'Mar-22'!M14</f>
        <v>1213276</v>
      </c>
      <c r="N44" s="83">
        <f>+N17-'Mar-22'!N14</f>
        <v>167883</v>
      </c>
      <c r="O44" s="83">
        <f>+O17-'Mar-22'!O14</f>
        <v>0</v>
      </c>
      <c r="P44" s="83">
        <f>+P17-'Mar-22'!P14</f>
        <v>1645544</v>
      </c>
      <c r="Q44" s="65">
        <f>IFERROR(M44/N44-1,"n/a")</f>
        <v>6.2269139817611077</v>
      </c>
      <c r="R44" s="65" t="str">
        <f>IFERROR(M44/O44-1,"n/a")</f>
        <v>n/a</v>
      </c>
      <c r="S44" s="61">
        <f t="shared" si="37"/>
        <v>-0.26269002834321054</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64</v>
      </c>
      <c r="G46" s="72">
        <f t="shared" si="38"/>
        <v>2</v>
      </c>
      <c r="H46" s="72">
        <f t="shared" si="38"/>
        <v>0</v>
      </c>
      <c r="I46" s="75">
        <f t="shared" si="38"/>
        <v>23</v>
      </c>
      <c r="J46" s="65">
        <f t="shared" ref="J46:J47" si="39">IFERROR(F46/G46-1,"n/a")</f>
        <v>31</v>
      </c>
      <c r="K46" s="65" t="str">
        <f t="shared" ref="K46:K47" si="40">IFERROR(F46/H46-1,"n/a")</f>
        <v>n/a</v>
      </c>
      <c r="L46" s="61">
        <f>IFERROR(F46/I46-1,"n/a")</f>
        <v>1.7826086956521738</v>
      </c>
      <c r="M46" s="71">
        <f>+M19-'Mar-22'!M16</f>
        <v>349</v>
      </c>
      <c r="N46" s="83">
        <f>+N19-'Mar-22'!N16</f>
        <v>2</v>
      </c>
      <c r="O46" s="83">
        <f>+O19-'Mar-22'!O16</f>
        <v>1</v>
      </c>
      <c r="P46" s="83">
        <f>+P19-'Mar-22'!P16</f>
        <v>145</v>
      </c>
      <c r="Q46" s="65">
        <f>IFERROR(M46/N46-1,"n/a")</f>
        <v>173.5</v>
      </c>
      <c r="R46" s="65">
        <f>IFERROR(M46/O46-1,"n/a")</f>
        <v>348</v>
      </c>
      <c r="S46" s="61">
        <f t="shared" ref="S46:S47" si="41">IFERROR(M46/P46-1,"n/a")</f>
        <v>1.4068965517241381</v>
      </c>
      <c r="T46" s="90">
        <v>33</v>
      </c>
      <c r="U46" s="71">
        <v>4</v>
      </c>
      <c r="V46" s="79">
        <v>188</v>
      </c>
    </row>
    <row r="47" spans="1:22" s="10" customFormat="1" ht="15" customHeight="1">
      <c r="C47" s="34"/>
      <c r="D47" s="27" t="s">
        <v>11</v>
      </c>
      <c r="E47" s="33"/>
      <c r="F47" s="75">
        <f t="shared" si="38"/>
        <v>80246</v>
      </c>
      <c r="G47" s="72">
        <f t="shared" si="38"/>
        <v>424</v>
      </c>
      <c r="H47" s="72">
        <f t="shared" si="38"/>
        <v>0</v>
      </c>
      <c r="I47" s="75">
        <f t="shared" si="38"/>
        <v>35836</v>
      </c>
      <c r="J47" s="65">
        <f t="shared" si="39"/>
        <v>188.25943396226415</v>
      </c>
      <c r="K47" s="65" t="str">
        <f t="shared" si="40"/>
        <v>n/a</v>
      </c>
      <c r="L47" s="61">
        <f t="shared" ref="L47" si="42">IFERROR(F47/I47-1,"n/a")</f>
        <v>1.2392566134613237</v>
      </c>
      <c r="M47" s="83">
        <f>+M20-'Mar-22'!M17</f>
        <v>421008</v>
      </c>
      <c r="N47" s="83">
        <f>+N20-'Mar-22'!N17</f>
        <v>424</v>
      </c>
      <c r="O47" s="83">
        <f>+O20-'Mar-22'!O17</f>
        <v>111</v>
      </c>
      <c r="P47" s="83">
        <f>+P20-'Mar-22'!P17</f>
        <v>198240</v>
      </c>
      <c r="Q47" s="65">
        <f>IFERROR(M47/N47-1,"n/a")</f>
        <v>991.94339622641508</v>
      </c>
      <c r="R47" s="65">
        <f>IFERROR(M47/O47-1,"n/a")</f>
        <v>3791.864864864865</v>
      </c>
      <c r="S47" s="61">
        <f t="shared" si="41"/>
        <v>1.123728813559322</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80</v>
      </c>
      <c r="G49" s="75">
        <f t="shared" si="43"/>
        <v>57</v>
      </c>
      <c r="H49" s="72">
        <f t="shared" si="43"/>
        <v>0</v>
      </c>
      <c r="I49" s="75">
        <f t="shared" si="43"/>
        <v>76</v>
      </c>
      <c r="J49" s="65">
        <f t="shared" ref="J49:J50" si="44">IFERROR(F49/G49-1,"n/a")</f>
        <v>0.40350877192982448</v>
      </c>
      <c r="K49" s="65" t="str">
        <f t="shared" ref="K49:K50" si="45">IFERROR(F49/H49-1,"n/a")</f>
        <v>n/a</v>
      </c>
      <c r="L49" s="61">
        <f t="shared" ref="L49:L50" si="46">IFERROR(F49/I49-1,"n/a")</f>
        <v>5.2631578947368363E-2</v>
      </c>
      <c r="M49" s="71">
        <f>+M22-'Mar-22'!M19</f>
        <v>511</v>
      </c>
      <c r="N49" s="71">
        <f>+N22-'Mar-22'!N19</f>
        <v>130</v>
      </c>
      <c r="O49" s="71">
        <f>+O22-'Mar-22'!O19</f>
        <v>42</v>
      </c>
      <c r="P49" s="71">
        <f>+P22-'Mar-22'!P19</f>
        <v>540</v>
      </c>
      <c r="Q49" s="65">
        <f>IFERROR(M49/N49-1,"n/a")</f>
        <v>2.9307692307692306</v>
      </c>
      <c r="R49" s="65">
        <f>IFERROR(M49/O49-1,"n/a")</f>
        <v>11.166666666666666</v>
      </c>
      <c r="S49" s="61">
        <f>IFERROR(M49/P49-1,"n/a")</f>
        <v>-5.3703703703703698E-2</v>
      </c>
      <c r="T49" s="90">
        <v>744</v>
      </c>
      <c r="U49" s="85">
        <v>406</v>
      </c>
      <c r="V49" s="79">
        <v>1253</v>
      </c>
    </row>
    <row r="50" spans="3:22" s="10" customFormat="1" ht="15" customHeight="1">
      <c r="C50" s="34"/>
      <c r="D50" s="27" t="s">
        <v>11</v>
      </c>
      <c r="E50" s="33"/>
      <c r="F50" s="74">
        <f t="shared" si="43"/>
        <v>275667</v>
      </c>
      <c r="G50" s="75">
        <f t="shared" si="43"/>
        <v>81777</v>
      </c>
      <c r="H50" s="72">
        <f t="shared" si="43"/>
        <v>0</v>
      </c>
      <c r="I50" s="75">
        <f t="shared" si="43"/>
        <v>223305</v>
      </c>
      <c r="J50" s="65">
        <f t="shared" si="44"/>
        <v>2.3709600498917789</v>
      </c>
      <c r="K50" s="65" t="str">
        <f t="shared" si="45"/>
        <v>n/a</v>
      </c>
      <c r="L50" s="61">
        <f t="shared" si="46"/>
        <v>0.23448646470074563</v>
      </c>
      <c r="M50" s="83">
        <f>+M23-'Mar-22'!M20</f>
        <v>1592899</v>
      </c>
      <c r="N50" s="83">
        <f>+N23-'Mar-22'!N20</f>
        <v>181810</v>
      </c>
      <c r="O50" s="83">
        <f>+O23-'Mar-22'!O20</f>
        <v>0</v>
      </c>
      <c r="P50" s="83">
        <f>+P23-'Mar-22'!P20</f>
        <v>1806818</v>
      </c>
      <c r="Q50" s="65">
        <f>IFERROR(M50/N50-1,"n/a")</f>
        <v>7.761338760244211</v>
      </c>
      <c r="R50" s="65" t="str">
        <f>IFERROR(M50/O50-1,"n/a")</f>
        <v>n/a</v>
      </c>
      <c r="S50" s="61">
        <f t="shared" ref="S50" si="47">IFERROR(M50/P50-1,"n/a")</f>
        <v>-0.11839543329765367</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34</v>
      </c>
      <c r="G52" s="75">
        <f t="shared" si="48"/>
        <v>17</v>
      </c>
      <c r="H52" s="72">
        <f t="shared" si="48"/>
        <v>5</v>
      </c>
      <c r="I52" s="75">
        <f t="shared" si="48"/>
        <v>40</v>
      </c>
      <c r="J52" s="65">
        <f t="shared" ref="J52:J53" si="49">IFERROR(F52/G52-1,"n/a")</f>
        <v>1</v>
      </c>
      <c r="K52" s="65">
        <f t="shared" ref="K52:K53" si="50">IFERROR(F52/H52-1,"n/a")</f>
        <v>5.8</v>
      </c>
      <c r="L52" s="61">
        <f t="shared" ref="L52:L53" si="51">IFERROR(F52/I52-1,"n/a")</f>
        <v>-0.15000000000000002</v>
      </c>
      <c r="M52" s="71">
        <f>+M25-'Mar-22'!M22</f>
        <v>199</v>
      </c>
      <c r="N52" s="71">
        <f>+N25-'Mar-22'!N22</f>
        <v>62</v>
      </c>
      <c r="O52" s="83">
        <f>+O25-'Mar-22'!O22</f>
        <v>7</v>
      </c>
      <c r="P52" s="71">
        <f>+P25-'Mar-22'!P22</f>
        <v>224</v>
      </c>
      <c r="Q52" s="65">
        <f>IFERROR(M52/N52-1,"n/a")</f>
        <v>2.2096774193548385</v>
      </c>
      <c r="R52" s="65">
        <f>IFERROR(M52/O52-1,"n/a")</f>
        <v>27.428571428571427</v>
      </c>
      <c r="S52" s="61">
        <f t="shared" ref="S52:S53" si="52">IFERROR(M52/P52-1,"n/a")</f>
        <v>-0.1116071428571429</v>
      </c>
      <c r="T52" s="90">
        <v>121</v>
      </c>
      <c r="U52" s="71">
        <v>41</v>
      </c>
      <c r="V52" s="79">
        <v>361</v>
      </c>
    </row>
    <row r="53" spans="3:22" s="10" customFormat="1" ht="15" customHeight="1">
      <c r="C53" s="34"/>
      <c r="D53" s="27" t="s">
        <v>11</v>
      </c>
      <c r="E53" s="33"/>
      <c r="F53" s="75">
        <f t="shared" si="48"/>
        <v>77500</v>
      </c>
      <c r="G53" s="75">
        <f t="shared" si="48"/>
        <v>31465</v>
      </c>
      <c r="H53" s="72">
        <f t="shared" si="48"/>
        <v>4538</v>
      </c>
      <c r="I53" s="75">
        <f t="shared" si="48"/>
        <v>102143</v>
      </c>
      <c r="J53" s="65">
        <f t="shared" si="49"/>
        <v>1.4630541871921183</v>
      </c>
      <c r="K53" s="65">
        <f t="shared" si="50"/>
        <v>16.078007933010138</v>
      </c>
      <c r="L53" s="61">
        <f t="shared" si="51"/>
        <v>-0.24125980243384271</v>
      </c>
      <c r="M53" s="83">
        <f>+M26-'Mar-22'!M23</f>
        <v>397486</v>
      </c>
      <c r="N53" s="83">
        <f>+N26-'Mar-22'!N23</f>
        <v>93051</v>
      </c>
      <c r="O53" s="83">
        <f>+O26-'Mar-22'!O23</f>
        <v>7079</v>
      </c>
      <c r="P53" s="83">
        <f>+P26-'Mar-22'!P23</f>
        <v>611908</v>
      </c>
      <c r="Q53" s="65">
        <f>IFERROR(M53/N53-1,"n/a")</f>
        <v>3.2717004653362132</v>
      </c>
      <c r="R53" s="65">
        <f>IFERROR(M53/O53-1,"n/a")</f>
        <v>55.150021189433538</v>
      </c>
      <c r="S53" s="61">
        <f t="shared" si="52"/>
        <v>-0.35041542192617192</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6" si="53">F28</f>
        <v>75</v>
      </c>
      <c r="G55" s="75">
        <f t="shared" si="53"/>
        <v>23</v>
      </c>
      <c r="H55" s="72">
        <f t="shared" si="53"/>
        <v>7</v>
      </c>
      <c r="I55" s="75">
        <f t="shared" si="53"/>
        <v>41</v>
      </c>
      <c r="J55" s="65">
        <f t="shared" ref="J55:J58" si="54">IFERROR(F55/G55-1,"n/a")</f>
        <v>2.2608695652173911</v>
      </c>
      <c r="K55" s="65">
        <f t="shared" ref="K55:K58" si="55">IFERROR(F55/H55-1,"n/a")</f>
        <v>9.7142857142857135</v>
      </c>
      <c r="L55" s="61">
        <f t="shared" ref="L55:L58" si="56">IFERROR(F55/I55-1,"n/a")</f>
        <v>0.8292682926829269</v>
      </c>
      <c r="M55" s="71">
        <f>+M28-'Mar-22'!M25</f>
        <v>405</v>
      </c>
      <c r="N55" s="71">
        <f>+N28-'Mar-22'!N25</f>
        <v>76</v>
      </c>
      <c r="O55" s="71">
        <f>+O28-'Mar-22'!O25</f>
        <v>11</v>
      </c>
      <c r="P55" s="71">
        <f>+P28-'Mar-22'!P25</f>
        <v>253</v>
      </c>
      <c r="Q55" s="65">
        <f>IFERROR(M55/N55-1,"n/a")</f>
        <v>4.3289473684210522</v>
      </c>
      <c r="R55" s="65">
        <f>IFERROR(M55/O55-1,"n/a")</f>
        <v>35.81818181818182</v>
      </c>
      <c r="S55" s="61">
        <f t="shared" ref="S55:S58" si="57">IFERROR(M55/P55-1,"n/a")</f>
        <v>0.60079051383399218</v>
      </c>
      <c r="T55" s="90">
        <v>140</v>
      </c>
      <c r="U55" s="71">
        <v>40</v>
      </c>
      <c r="V55" s="79">
        <v>360</v>
      </c>
    </row>
    <row r="56" spans="3:22" ht="15.45" customHeight="1">
      <c r="C56" s="34"/>
      <c r="D56" s="27" t="s">
        <v>11</v>
      </c>
      <c r="E56" s="33"/>
      <c r="F56" s="75">
        <f t="shared" si="53"/>
        <v>150114</v>
      </c>
      <c r="G56" s="75">
        <f t="shared" si="53"/>
        <v>35845</v>
      </c>
      <c r="H56" s="72">
        <f t="shared" si="53"/>
        <v>1534</v>
      </c>
      <c r="I56" s="75">
        <f t="shared" si="53"/>
        <v>107800</v>
      </c>
      <c r="J56" s="65">
        <f t="shared" si="54"/>
        <v>3.1878644162365743</v>
      </c>
      <c r="K56" s="65">
        <f t="shared" si="55"/>
        <v>96.857887874837033</v>
      </c>
      <c r="L56" s="61">
        <f t="shared" si="56"/>
        <v>0.39252319109461964</v>
      </c>
      <c r="M56" s="83">
        <f>+M29-'Mar-22'!M26</f>
        <v>681688</v>
      </c>
      <c r="N56" s="83">
        <f>+N29-'Mar-22'!N26</f>
        <v>115520</v>
      </c>
      <c r="O56" s="83">
        <f>+O29-'Mar-22'!O26</f>
        <v>9828</v>
      </c>
      <c r="P56" s="83">
        <f>+P29-'Mar-22'!P26</f>
        <v>694671</v>
      </c>
      <c r="Q56" s="65">
        <f>IFERROR(M56/N56-1,"n/a")</f>
        <v>4.9010387811634351</v>
      </c>
      <c r="R56" s="65">
        <f>IFERROR(M56/O56-1,"n/a")</f>
        <v>68.361823361823369</v>
      </c>
      <c r="S56" s="61">
        <f t="shared" si="57"/>
        <v>-1.86894227627179E-2</v>
      </c>
      <c r="T56" s="83">
        <v>174336</v>
      </c>
      <c r="U56" s="85">
        <v>21928</v>
      </c>
      <c r="V56" s="79">
        <f>706948+155011</f>
        <v>861959</v>
      </c>
    </row>
    <row r="57" spans="3:22" ht="26.7" customHeight="1" thickBot="1">
      <c r="C57" s="36" t="s">
        <v>12</v>
      </c>
      <c r="D57" s="37"/>
      <c r="E57" s="38"/>
      <c r="F57" s="76">
        <f t="shared" ref="F57:I58" si="58">F40+F43+F46+F49+F52+F55</f>
        <v>334</v>
      </c>
      <c r="G57" s="76">
        <f t="shared" si="58"/>
        <v>148</v>
      </c>
      <c r="H57" s="76">
        <f t="shared" si="58"/>
        <v>12</v>
      </c>
      <c r="I57" s="76">
        <f t="shared" si="58"/>
        <v>269</v>
      </c>
      <c r="J57" s="67">
        <f t="shared" si="54"/>
        <v>1.2567567567567566</v>
      </c>
      <c r="K57" s="67">
        <f t="shared" si="55"/>
        <v>26.833333333333332</v>
      </c>
      <c r="L57" s="63">
        <f t="shared" si="56"/>
        <v>0.24163568773234201</v>
      </c>
      <c r="M57" s="47">
        <f t="shared" ref="M57:P58" si="59">M40+M43+M46+M49+M52+M55</f>
        <v>1970</v>
      </c>
      <c r="N57" s="47">
        <f t="shared" si="59"/>
        <v>370</v>
      </c>
      <c r="O57" s="47">
        <f t="shared" si="59"/>
        <v>61</v>
      </c>
      <c r="P57" s="47">
        <f t="shared" si="59"/>
        <v>1711</v>
      </c>
      <c r="Q57" s="67">
        <f>IFERROR(M57/N57-1,"n/a")</f>
        <v>4.3243243243243246</v>
      </c>
      <c r="R57" s="67">
        <f>IFERROR(M57/O57-1,"n/a")</f>
        <v>31.295081967213115</v>
      </c>
      <c r="S57" s="63">
        <f t="shared" si="57"/>
        <v>0.15137346580946809</v>
      </c>
      <c r="T57" s="47">
        <f t="shared" ref="T57:V58" si="60">T40+T43+T46+T49+T52+T55</f>
        <v>1682</v>
      </c>
      <c r="U57" s="47">
        <f t="shared" si="60"/>
        <v>679</v>
      </c>
      <c r="V57" s="81">
        <f t="shared" si="60"/>
        <v>3274</v>
      </c>
    </row>
    <row r="58" spans="3:22" ht="26.7" customHeight="1" thickTop="1" thickBot="1">
      <c r="C58" s="39" t="s">
        <v>13</v>
      </c>
      <c r="D58" s="40"/>
      <c r="E58" s="41"/>
      <c r="F58" s="77">
        <f t="shared" si="58"/>
        <v>837867</v>
      </c>
      <c r="G58" s="77">
        <f t="shared" si="58"/>
        <v>240848</v>
      </c>
      <c r="H58" s="77">
        <f t="shared" si="58"/>
        <v>6072</v>
      </c>
      <c r="I58" s="77">
        <f t="shared" si="58"/>
        <v>784268</v>
      </c>
      <c r="J58" s="68">
        <f t="shared" si="54"/>
        <v>2.4788206669766826</v>
      </c>
      <c r="K58" s="68">
        <f t="shared" si="55"/>
        <v>136.98863636363637</v>
      </c>
      <c r="L58" s="64">
        <f t="shared" si="56"/>
        <v>6.8342709379956901E-2</v>
      </c>
      <c r="M58" s="48">
        <f t="shared" si="59"/>
        <v>4349111</v>
      </c>
      <c r="N58" s="48">
        <f t="shared" si="59"/>
        <v>562889</v>
      </c>
      <c r="O58" s="48">
        <f t="shared" si="59"/>
        <v>17018</v>
      </c>
      <c r="P58" s="48">
        <f t="shared" si="59"/>
        <v>5064080</v>
      </c>
      <c r="Q58" s="68">
        <f>IFERROR(M58/N58-1,"n/a")</f>
        <v>6.7264096473727504</v>
      </c>
      <c r="R58" s="68">
        <f>IFERROR(M58/O58-1,"n/a")</f>
        <v>254.5594664472911</v>
      </c>
      <c r="S58" s="64">
        <f t="shared" si="57"/>
        <v>-0.14118438097344432</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59"/>
  <sheetViews>
    <sheetView showGridLines="0" zoomScale="110" zoomScaleNormal="110" zoomScalePageLayoutView="40" workbookViewId="0">
      <selection activeCell="F29" sqref="F29"/>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4"/>
      <c r="D2" s="24"/>
      <c r="E2" s="24"/>
      <c r="F2" s="24"/>
      <c r="G2" s="24"/>
      <c r="H2" s="24"/>
      <c r="I2" s="24"/>
      <c r="J2" s="24"/>
      <c r="K2" s="24"/>
      <c r="L2" s="24"/>
      <c r="M2" s="24"/>
      <c r="N2" s="24"/>
      <c r="O2" s="24"/>
      <c r="P2" s="24"/>
      <c r="Q2" s="24"/>
      <c r="R2" s="24"/>
      <c r="S2" s="24"/>
      <c r="T2" s="24"/>
      <c r="U2" s="24"/>
      <c r="V2" s="24"/>
    </row>
    <row r="3" spans="1:38" ht="14.4">
      <c r="A3" s="10"/>
      <c r="B3" s="11"/>
      <c r="C3" s="25"/>
      <c r="D3" s="25"/>
      <c r="E3" s="25"/>
      <c r="F3" s="25"/>
      <c r="G3" s="25"/>
      <c r="H3" s="25"/>
      <c r="I3" s="25"/>
      <c r="J3" s="25"/>
      <c r="K3" s="25"/>
      <c r="L3" s="25"/>
      <c r="M3" s="25"/>
      <c r="N3" s="25"/>
      <c r="O3" s="25"/>
      <c r="P3" s="25"/>
      <c r="Q3" s="25"/>
      <c r="R3" s="25"/>
      <c r="S3" s="25"/>
      <c r="T3" s="25"/>
      <c r="U3" s="25"/>
      <c r="V3" s="26"/>
    </row>
    <row r="4" spans="1:38" ht="16.2">
      <c r="A4" s="10"/>
      <c r="B4" s="12" t="s">
        <v>7</v>
      </c>
      <c r="C4" s="27"/>
      <c r="D4" s="25"/>
      <c r="E4" s="59" t="s">
        <v>72</v>
      </c>
      <c r="F4" s="25"/>
      <c r="G4" s="25"/>
      <c r="H4" s="25"/>
      <c r="I4" s="25"/>
      <c r="J4" s="25"/>
      <c r="K4" s="25"/>
      <c r="L4" s="25"/>
      <c r="M4" s="25"/>
      <c r="N4" s="25"/>
      <c r="O4" s="25"/>
      <c r="P4" s="25"/>
      <c r="Q4" s="25"/>
      <c r="R4" s="25"/>
      <c r="S4" s="25"/>
      <c r="T4" s="25"/>
      <c r="U4" s="25"/>
      <c r="V4" s="25"/>
    </row>
    <row r="5" spans="1:38" ht="14.4">
      <c r="A5" s="10"/>
      <c r="B5" s="11"/>
      <c r="C5" s="25"/>
      <c r="D5" s="25"/>
      <c r="E5" s="25"/>
      <c r="F5" s="25"/>
      <c r="G5" s="25"/>
      <c r="H5" s="25"/>
      <c r="I5" s="25"/>
      <c r="J5" s="25"/>
      <c r="K5" s="25"/>
      <c r="L5" s="25"/>
      <c r="M5" s="25"/>
      <c r="N5" s="25"/>
      <c r="O5" s="25"/>
      <c r="P5" s="25"/>
      <c r="Q5" s="25"/>
      <c r="R5" s="25"/>
      <c r="S5" s="25"/>
      <c r="T5" s="25"/>
      <c r="U5" s="25"/>
      <c r="V5" s="25"/>
    </row>
    <row r="6" spans="1:38" ht="14.4">
      <c r="A6" s="10"/>
      <c r="B6" s="11"/>
      <c r="C6" s="25"/>
      <c r="D6" s="25"/>
      <c r="E6" s="25"/>
      <c r="F6" s="25"/>
      <c r="G6" s="25"/>
      <c r="H6" s="25"/>
      <c r="I6" s="25"/>
      <c r="J6" s="25"/>
      <c r="K6" s="25"/>
      <c r="L6" s="25"/>
      <c r="M6" s="25"/>
      <c r="N6" s="25"/>
      <c r="O6" s="25"/>
      <c r="P6" s="25"/>
      <c r="Q6" s="25"/>
      <c r="R6" s="25"/>
      <c r="S6" s="25"/>
      <c r="T6" s="25"/>
      <c r="U6" s="25"/>
      <c r="V6" s="25"/>
    </row>
    <row r="7" spans="1:38" ht="14.4">
      <c r="A7" s="10"/>
      <c r="B7" s="11"/>
      <c r="C7" s="87" t="s">
        <v>62</v>
      </c>
      <c r="D7" s="25"/>
      <c r="E7" s="25"/>
      <c r="F7" s="25"/>
      <c r="G7" s="25"/>
      <c r="H7" s="25"/>
      <c r="I7" s="25"/>
      <c r="J7" s="25"/>
      <c r="K7" s="25"/>
      <c r="L7" s="25"/>
      <c r="M7" s="25"/>
      <c r="N7" s="25"/>
      <c r="O7" s="25"/>
      <c r="P7" s="25"/>
      <c r="Q7" s="25"/>
      <c r="R7" s="25"/>
      <c r="S7" s="25"/>
      <c r="T7" s="25"/>
      <c r="U7" s="25"/>
      <c r="V7" s="25"/>
    </row>
    <row r="8" spans="1:38" ht="14.4">
      <c r="A8" s="10"/>
      <c r="B8" s="11"/>
      <c r="C8" s="25"/>
      <c r="D8" s="25"/>
      <c r="E8" s="25"/>
      <c r="F8" s="25"/>
      <c r="G8" s="25"/>
      <c r="H8" s="25"/>
      <c r="I8" s="25"/>
      <c r="J8" s="25"/>
      <c r="K8" s="25"/>
      <c r="L8" s="25"/>
      <c r="M8" s="25"/>
      <c r="N8" s="25"/>
      <c r="O8" s="25"/>
      <c r="P8" s="25"/>
      <c r="Q8" s="25"/>
      <c r="R8" s="25"/>
      <c r="S8" s="25"/>
      <c r="T8" s="25"/>
      <c r="U8" s="25"/>
      <c r="V8" s="25"/>
    </row>
    <row r="9" spans="1:38" s="21" customFormat="1" ht="14.4">
      <c r="A9" s="10"/>
      <c r="B9"/>
      <c r="C9" s="28" t="s">
        <v>7</v>
      </c>
      <c r="D9" s="29"/>
      <c r="E9" s="29"/>
      <c r="F9" s="102" t="s">
        <v>69</v>
      </c>
      <c r="G9" s="102"/>
      <c r="H9" s="102"/>
      <c r="I9" s="102"/>
      <c r="J9" s="102"/>
      <c r="K9" s="102"/>
      <c r="L9" s="103"/>
      <c r="M9" s="104" t="s">
        <v>71</v>
      </c>
      <c r="N9" s="102"/>
      <c r="O9" s="102"/>
      <c r="P9" s="102"/>
      <c r="Q9" s="102"/>
      <c r="R9" s="102"/>
      <c r="S9" s="103"/>
      <c r="T9" s="104" t="s">
        <v>57</v>
      </c>
      <c r="U9" s="102"/>
      <c r="V9" s="105"/>
      <c r="W9" s="10"/>
      <c r="X9" s="20"/>
      <c r="Y9" s="20"/>
      <c r="Z9" s="20"/>
      <c r="AA9" s="20"/>
      <c r="AB9" s="20"/>
      <c r="AC9" s="20"/>
      <c r="AD9" s="20"/>
      <c r="AE9" s="20"/>
      <c r="AF9" s="20"/>
      <c r="AG9" s="20"/>
      <c r="AH9" s="20"/>
      <c r="AI9" s="20"/>
      <c r="AJ9" s="20"/>
      <c r="AK9" s="20"/>
      <c r="AL9" s="20"/>
    </row>
    <row r="10" spans="1:38" ht="14.4">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4.4">
      <c r="A12" s="10"/>
      <c r="B12" s="13"/>
      <c r="C12" s="32" t="s">
        <v>14</v>
      </c>
      <c r="D12" s="27"/>
      <c r="E12" s="33"/>
      <c r="F12" s="27"/>
      <c r="G12" s="27"/>
      <c r="H12" s="27"/>
      <c r="I12" s="27"/>
      <c r="J12" s="27"/>
      <c r="K12" s="27"/>
      <c r="L12" s="33"/>
      <c r="M12" s="27"/>
      <c r="N12" s="27"/>
      <c r="O12" s="27"/>
      <c r="P12" s="27"/>
      <c r="Q12" s="27"/>
      <c r="R12" s="27"/>
      <c r="S12" s="33"/>
      <c r="T12" s="27"/>
      <c r="U12" s="27"/>
      <c r="V12" s="33"/>
    </row>
    <row r="13" spans="1:38" ht="14.4">
      <c r="A13" s="10"/>
      <c r="B13" s="13"/>
      <c r="C13" s="34"/>
      <c r="D13" s="27" t="s">
        <v>5</v>
      </c>
      <c r="E13" s="33"/>
      <c r="F13" s="75">
        <v>0</v>
      </c>
      <c r="G13" s="75">
        <v>7</v>
      </c>
      <c r="H13" s="72">
        <v>0</v>
      </c>
      <c r="I13" s="72">
        <v>4</v>
      </c>
      <c r="J13" s="65">
        <f t="shared" ref="J13:J31" si="0">IFERROR(F13/G13-1,"n/a")</f>
        <v>-1</v>
      </c>
      <c r="K13" s="65" t="str">
        <f>IFERROR(F13/H13-1,"n/a")</f>
        <v>n/a</v>
      </c>
      <c r="L13" s="61">
        <f t="shared" ref="L13:L14" si="1">IFERROR(F13/I13-1,"n/a")</f>
        <v>-1</v>
      </c>
      <c r="M13" s="69">
        <f>F13+'Jul-22'!M13</f>
        <v>227</v>
      </c>
      <c r="N13" s="69">
        <f>G13+'Jul-22'!N13</f>
        <v>13</v>
      </c>
      <c r="O13" s="69">
        <f>H13+'Jul-22'!O13</f>
        <v>145</v>
      </c>
      <c r="P13" s="69">
        <f>I13+'Jul-22'!P13</f>
        <v>250</v>
      </c>
      <c r="Q13" s="65">
        <f>IFERROR(M13/N13-1,"n/a")</f>
        <v>16.46153846153846</v>
      </c>
      <c r="R13" s="65">
        <f>IFERROR(M13/O13-1,"n/a")</f>
        <v>0.56551724137931036</v>
      </c>
      <c r="S13" s="61">
        <f>IFERROR(M13/P13-1,"n/a")</f>
        <v>-9.1999999999999971E-2</v>
      </c>
      <c r="T13" s="69">
        <v>111</v>
      </c>
      <c r="U13" s="71">
        <v>145</v>
      </c>
      <c r="V13" s="79">
        <v>386</v>
      </c>
    </row>
    <row r="14" spans="1:38" ht="14.4">
      <c r="A14" s="10"/>
      <c r="B14" s="13"/>
      <c r="C14" s="34"/>
      <c r="D14" s="27" t="s">
        <v>11</v>
      </c>
      <c r="E14" s="33"/>
      <c r="F14" s="75">
        <v>0</v>
      </c>
      <c r="G14" s="75">
        <v>1816</v>
      </c>
      <c r="H14" s="72">
        <v>0</v>
      </c>
      <c r="I14" s="75">
        <v>9607</v>
      </c>
      <c r="J14" s="65">
        <f t="shared" si="0"/>
        <v>-1</v>
      </c>
      <c r="K14" s="65" t="str">
        <f t="shared" ref="K14" si="2">IFERROR(F14/H14-1,"n/a")</f>
        <v>n/a</v>
      </c>
      <c r="L14" s="61">
        <f t="shared" si="1"/>
        <v>-1</v>
      </c>
      <c r="M14" s="69">
        <f>F14+'Jul-22'!M14</f>
        <v>194169</v>
      </c>
      <c r="N14" s="69">
        <f>G14+'Jul-22'!N14</f>
        <v>2583</v>
      </c>
      <c r="O14" s="69">
        <f>H14+'Jul-22'!O14</f>
        <v>258885</v>
      </c>
      <c r="P14" s="69">
        <f>I14+'Jul-22'!P14</f>
        <v>481131</v>
      </c>
      <c r="Q14" s="65">
        <f>IFERROR(M14/N14-1,"n/a")</f>
        <v>74.1718931475029</v>
      </c>
      <c r="R14" s="65">
        <f>IFERROR(M14/O14-1,"n/a")</f>
        <v>-0.24997972072541863</v>
      </c>
      <c r="S14" s="61">
        <f>IFERROR(M14/P14-1,"n/a")</f>
        <v>-0.59643215673070327</v>
      </c>
      <c r="T14" s="69">
        <v>80863</v>
      </c>
      <c r="U14" s="71">
        <v>258885</v>
      </c>
      <c r="V14" s="79">
        <v>733296</v>
      </c>
    </row>
    <row r="15" spans="1:38" ht="14.4">
      <c r="A15" s="10"/>
      <c r="B15" s="13"/>
      <c r="C15" s="32" t="s">
        <v>74</v>
      </c>
      <c r="D15" s="27"/>
      <c r="E15" s="33"/>
      <c r="F15" s="27"/>
      <c r="G15" s="27"/>
      <c r="H15" s="27"/>
      <c r="I15" s="27"/>
      <c r="J15" s="65"/>
      <c r="K15" s="65"/>
      <c r="L15" s="62"/>
      <c r="M15" s="88"/>
      <c r="N15" s="88"/>
      <c r="O15" s="88"/>
      <c r="P15" s="88"/>
      <c r="Q15" s="65"/>
      <c r="R15" s="66"/>
      <c r="S15" s="62"/>
      <c r="T15" s="44"/>
      <c r="U15" s="45"/>
      <c r="V15" s="80"/>
    </row>
    <row r="16" spans="1:38" ht="14.4">
      <c r="A16" s="10"/>
      <c r="B16" s="13"/>
      <c r="C16" s="34"/>
      <c r="D16" s="27" t="s">
        <v>5</v>
      </c>
      <c r="E16" s="33"/>
      <c r="F16" s="75">
        <v>57</v>
      </c>
      <c r="G16" s="75">
        <v>24</v>
      </c>
      <c r="H16" s="72">
        <v>0</v>
      </c>
      <c r="I16" s="75">
        <v>69</v>
      </c>
      <c r="J16" s="65">
        <f t="shared" si="0"/>
        <v>1.375</v>
      </c>
      <c r="K16" s="65" t="str">
        <f t="shared" ref="K16:K17" si="3">IFERROR(F16/H16-1,"n/a")</f>
        <v>n/a</v>
      </c>
      <c r="L16" s="61">
        <f t="shared" ref="L16:L17" si="4">IFERROR(F16/I16-1,"n/a")</f>
        <v>-0.17391304347826086</v>
      </c>
      <c r="M16" s="69">
        <f>F16+'Jul-22'!M16</f>
        <v>448</v>
      </c>
      <c r="N16" s="69">
        <f>G16+'Jul-22'!N16</f>
        <v>38</v>
      </c>
      <c r="O16" s="69">
        <f>H16+'Jul-22'!O16</f>
        <v>43</v>
      </c>
      <c r="P16" s="69">
        <f>I16+'Jul-22'!P16</f>
        <v>499</v>
      </c>
      <c r="Q16" s="65">
        <f t="shared" ref="Q16:Q17" si="5">IFERROR(M16/N16-1,"n/a")</f>
        <v>10.789473684210526</v>
      </c>
      <c r="R16" s="65">
        <f t="shared" ref="R16:R17" si="6">IFERROR(M16/O16-1,"n/a")</f>
        <v>9.4186046511627914</v>
      </c>
      <c r="S16" s="61">
        <f t="shared" ref="S16:S17" si="7">IFERROR(M16/P16-1,"n/a")</f>
        <v>-0.10220440881763526</v>
      </c>
      <c r="T16" s="69">
        <v>283</v>
      </c>
      <c r="U16" s="71">
        <v>43</v>
      </c>
      <c r="V16" s="79">
        <v>827</v>
      </c>
    </row>
    <row r="17" spans="1:38" ht="14.4">
      <c r="A17" s="10"/>
      <c r="B17" s="13"/>
      <c r="C17" s="34"/>
      <c r="D17" s="27" t="s">
        <v>11</v>
      </c>
      <c r="E17" s="33"/>
      <c r="F17" s="75">
        <v>227186</v>
      </c>
      <c r="G17" s="75">
        <v>49688</v>
      </c>
      <c r="H17" s="72">
        <v>0</v>
      </c>
      <c r="I17" s="75">
        <v>291759</v>
      </c>
      <c r="J17" s="65">
        <f t="shared" si="0"/>
        <v>3.572250845274513</v>
      </c>
      <c r="K17" s="65" t="str">
        <f t="shared" si="3"/>
        <v>n/a</v>
      </c>
      <c r="L17" s="61">
        <f t="shared" si="4"/>
        <v>-0.2213230782940715</v>
      </c>
      <c r="M17" s="69">
        <f>F17+'Jul-22'!M17</f>
        <v>1032303</v>
      </c>
      <c r="N17" s="69">
        <f>G17+'Jul-22'!N17</f>
        <v>78164</v>
      </c>
      <c r="O17" s="69">
        <f>H17+'Jul-22'!O17</f>
        <v>140552</v>
      </c>
      <c r="P17" s="69">
        <f>I17+'Jul-22'!P17</f>
        <v>1593408</v>
      </c>
      <c r="Q17" s="65">
        <f t="shared" si="5"/>
        <v>12.206885522747045</v>
      </c>
      <c r="R17" s="65">
        <f t="shared" si="6"/>
        <v>6.3446340144572826</v>
      </c>
      <c r="S17" s="61">
        <f t="shared" si="7"/>
        <v>-0.35214144776479095</v>
      </c>
      <c r="T17" s="69">
        <v>465109</v>
      </c>
      <c r="U17" s="71">
        <v>140552</v>
      </c>
      <c r="V17" s="79">
        <v>2552942</v>
      </c>
    </row>
    <row r="18" spans="1:38" ht="14.4">
      <c r="A18" s="10"/>
      <c r="B18" s="13"/>
      <c r="C18" s="32" t="s">
        <v>15</v>
      </c>
      <c r="D18" s="27"/>
      <c r="E18" s="33"/>
      <c r="F18" s="73"/>
      <c r="G18" s="73"/>
      <c r="H18" s="73"/>
      <c r="I18" s="73"/>
      <c r="J18" s="65"/>
      <c r="K18" s="65"/>
      <c r="L18" s="61"/>
      <c r="M18" s="88"/>
      <c r="N18" s="88"/>
      <c r="O18" s="88"/>
      <c r="P18" s="88"/>
      <c r="Q18" s="65"/>
      <c r="R18" s="65"/>
      <c r="S18" s="61"/>
      <c r="T18" s="44"/>
      <c r="U18" s="45"/>
      <c r="V18" s="80"/>
    </row>
    <row r="19" spans="1:38" ht="14.4">
      <c r="A19" s="10"/>
      <c r="B19" s="13"/>
      <c r="C19" s="34"/>
      <c r="D19" s="27" t="s">
        <v>5</v>
      </c>
      <c r="E19" s="33"/>
      <c r="F19" s="75">
        <v>68</v>
      </c>
      <c r="G19" s="72">
        <v>0</v>
      </c>
      <c r="H19" s="72">
        <v>0</v>
      </c>
      <c r="I19" s="75">
        <v>27</v>
      </c>
      <c r="J19" s="65" t="str">
        <f t="shared" si="0"/>
        <v>n/a</v>
      </c>
      <c r="K19" s="65" t="str">
        <f t="shared" ref="K19:K20" si="8">IFERROR(F19/H19-1,"n/a")</f>
        <v>n/a</v>
      </c>
      <c r="L19" s="61">
        <f>IFERROR(F19/I19-1,"n/a")</f>
        <v>1.5185185185185186</v>
      </c>
      <c r="M19" s="69">
        <f>F19+'Jul-22'!M19</f>
        <v>295</v>
      </c>
      <c r="N19" s="69">
        <f>G19+'Jul-22'!N19</f>
        <v>0</v>
      </c>
      <c r="O19" s="69">
        <f>H19+'Jul-22'!O19</f>
        <v>4</v>
      </c>
      <c r="P19" s="69">
        <f>I19+'Jul-22'!P19</f>
        <v>128</v>
      </c>
      <c r="Q19" s="65" t="str">
        <f t="shared" ref="Q19:Q20" si="9">IFERROR(M19/N19-1,"n/a")</f>
        <v>n/a</v>
      </c>
      <c r="R19" s="65">
        <f t="shared" ref="R19:R20" si="10">IFERROR(M19/O19-1,"n/a")</f>
        <v>72.75</v>
      </c>
      <c r="S19" s="61">
        <f t="shared" ref="S19:S20" si="11">IFERROR(M19/P19-1,"n/a")</f>
        <v>1.3046875</v>
      </c>
      <c r="T19" s="69">
        <v>23</v>
      </c>
      <c r="U19" s="71">
        <v>4</v>
      </c>
      <c r="V19" s="79">
        <v>191</v>
      </c>
    </row>
    <row r="20" spans="1:38" ht="14.4">
      <c r="A20" s="10"/>
      <c r="B20" s="13"/>
      <c r="C20" s="34"/>
      <c r="D20" s="27" t="s">
        <v>11</v>
      </c>
      <c r="E20" s="33"/>
      <c r="F20" s="75">
        <f>83975+18581</f>
        <v>102556</v>
      </c>
      <c r="G20" s="72">
        <v>0</v>
      </c>
      <c r="H20" s="72">
        <v>0</v>
      </c>
      <c r="I20" s="75">
        <f>27978+22373</f>
        <v>50351</v>
      </c>
      <c r="J20" s="65" t="str">
        <f t="shared" si="0"/>
        <v>n/a</v>
      </c>
      <c r="K20" s="65" t="str">
        <f t="shared" si="8"/>
        <v>n/a</v>
      </c>
      <c r="L20" s="61">
        <f t="shared" ref="L20:L31" si="12">IFERROR(F20/I20-1,"n/a")</f>
        <v>1.036821512978888</v>
      </c>
      <c r="M20" s="69">
        <f>F20+'Jul-22'!M20</f>
        <v>342234</v>
      </c>
      <c r="N20" s="69">
        <f>G20+'Jul-22'!N20</f>
        <v>0</v>
      </c>
      <c r="O20" s="69">
        <f>H20+'Jul-22'!O20</f>
        <v>1753</v>
      </c>
      <c r="P20" s="69">
        <f>I20+'Jul-22'!P20</f>
        <v>167542</v>
      </c>
      <c r="Q20" s="65" t="str">
        <f t="shared" si="9"/>
        <v>n/a</v>
      </c>
      <c r="R20" s="65">
        <f t="shared" si="10"/>
        <v>194.22760981175128</v>
      </c>
      <c r="S20" s="61">
        <f t="shared" si="11"/>
        <v>1.04267586634993</v>
      </c>
      <c r="T20" s="69">
        <v>8611</v>
      </c>
      <c r="U20" s="71">
        <v>1753</v>
      </c>
      <c r="V20" s="79">
        <v>254421</v>
      </c>
    </row>
    <row r="21" spans="1:38" ht="14.4">
      <c r="A21" s="10"/>
      <c r="B21" s="13"/>
      <c r="C21" s="32" t="s">
        <v>10</v>
      </c>
      <c r="D21" s="27"/>
      <c r="E21" s="35"/>
      <c r="F21" s="73"/>
      <c r="G21" s="73"/>
      <c r="H21" s="73"/>
      <c r="I21" s="73"/>
      <c r="J21" s="65"/>
      <c r="K21" s="65"/>
      <c r="L21" s="61"/>
      <c r="M21" s="88"/>
      <c r="N21" s="88"/>
      <c r="O21" s="88"/>
      <c r="P21" s="88"/>
      <c r="Q21" s="65"/>
      <c r="R21" s="65"/>
      <c r="S21" s="61"/>
      <c r="T21" s="44"/>
      <c r="U21" s="45"/>
      <c r="V21" s="80"/>
    </row>
    <row r="22" spans="1:38" ht="14.4">
      <c r="A22" s="10"/>
      <c r="B22" s="13"/>
      <c r="C22" s="34"/>
      <c r="D22" s="27" t="s">
        <v>5</v>
      </c>
      <c r="E22" s="35"/>
      <c r="F22" s="74">
        <v>81</v>
      </c>
      <c r="G22" s="75">
        <v>44</v>
      </c>
      <c r="H22" s="72">
        <v>0</v>
      </c>
      <c r="I22" s="75">
        <v>93</v>
      </c>
      <c r="J22" s="65">
        <f t="shared" si="0"/>
        <v>0.84090909090909083</v>
      </c>
      <c r="K22" s="65" t="str">
        <f t="shared" ref="K22:K23" si="13">IFERROR(F22/H22-1,"n/a")</f>
        <v>n/a</v>
      </c>
      <c r="L22" s="61">
        <f t="shared" si="12"/>
        <v>-0.12903225806451613</v>
      </c>
      <c r="M22" s="69">
        <f>F22+'Jul-22'!M22</f>
        <v>764</v>
      </c>
      <c r="N22" s="69">
        <f>G22+'Jul-22'!N22</f>
        <v>73</v>
      </c>
      <c r="O22" s="69">
        <f>H22+'Jul-22'!O22</f>
        <v>406</v>
      </c>
      <c r="P22" s="69">
        <f>I22+'Jul-22'!P22</f>
        <v>780</v>
      </c>
      <c r="Q22" s="65">
        <f t="shared" ref="Q22:Q23" si="14">IFERROR(M22/N22-1,"n/a")</f>
        <v>9.4657534246575334</v>
      </c>
      <c r="R22" s="65">
        <f t="shared" ref="R22:R23" si="15">IFERROR(M22/O22-1,"n/a")</f>
        <v>0.88177339901477825</v>
      </c>
      <c r="S22" s="61">
        <f t="shared" ref="S22:S23" si="16">IFERROR(M22/P22-1,"n/a")</f>
        <v>-2.0512820512820551E-2</v>
      </c>
      <c r="T22" s="69">
        <v>411</v>
      </c>
      <c r="U22" s="71">
        <v>406</v>
      </c>
      <c r="V22" s="79">
        <v>1205</v>
      </c>
    </row>
    <row r="23" spans="1:38" ht="14.4">
      <c r="A23" s="10"/>
      <c r="B23" s="13"/>
      <c r="C23" s="34"/>
      <c r="D23" s="27" t="s">
        <v>11</v>
      </c>
      <c r="E23" s="33"/>
      <c r="F23" s="75">
        <v>278520</v>
      </c>
      <c r="G23" s="75">
        <v>64775</v>
      </c>
      <c r="H23" s="72">
        <v>0</v>
      </c>
      <c r="I23" s="75">
        <v>315639</v>
      </c>
      <c r="J23" s="65">
        <f t="shared" si="0"/>
        <v>3.2998070243149362</v>
      </c>
      <c r="K23" s="65" t="str">
        <f t="shared" si="13"/>
        <v>n/a</v>
      </c>
      <c r="L23" s="61">
        <f t="shared" si="12"/>
        <v>-0.11759953617898933</v>
      </c>
      <c r="M23" s="69">
        <f>F23+'Jul-22'!M23</f>
        <v>1920562</v>
      </c>
      <c r="N23" s="69">
        <f>G23+'Jul-22'!N23</f>
        <v>100033</v>
      </c>
      <c r="O23" s="69">
        <f>H23+'Jul-22'!O23</f>
        <v>833999</v>
      </c>
      <c r="P23" s="69">
        <f>I23+'Jul-22'!P23</f>
        <v>2649237</v>
      </c>
      <c r="Q23" s="65">
        <f t="shared" si="14"/>
        <v>18.199284236202054</v>
      </c>
      <c r="R23" s="65">
        <f t="shared" si="15"/>
        <v>1.302834895485486</v>
      </c>
      <c r="S23" s="61">
        <f t="shared" si="16"/>
        <v>-0.27505089201154898</v>
      </c>
      <c r="T23" s="69">
        <v>687449</v>
      </c>
      <c r="U23" s="71">
        <v>833999</v>
      </c>
      <c r="V23" s="79">
        <v>3859183</v>
      </c>
    </row>
    <row r="24" spans="1:38" ht="14.4">
      <c r="A24" s="10"/>
      <c r="B24" s="13"/>
      <c r="C24" s="32" t="s">
        <v>16</v>
      </c>
      <c r="D24" s="27"/>
      <c r="E24" s="33"/>
      <c r="F24" s="73"/>
      <c r="G24" s="73"/>
      <c r="H24" s="73"/>
      <c r="I24" s="73"/>
      <c r="J24" s="65"/>
      <c r="K24" s="65"/>
      <c r="L24" s="61"/>
      <c r="M24" s="88"/>
      <c r="N24" s="88"/>
      <c r="O24" s="88"/>
      <c r="P24" s="88"/>
      <c r="Q24" s="65"/>
      <c r="R24" s="65"/>
      <c r="S24" s="61"/>
      <c r="T24" s="44"/>
      <c r="U24" s="45"/>
      <c r="V24" s="80"/>
    </row>
    <row r="25" spans="1:38" ht="14.4">
      <c r="A25" s="10"/>
      <c r="B25" s="13"/>
      <c r="C25" s="34"/>
      <c r="D25" s="27" t="s">
        <v>5</v>
      </c>
      <c r="E25" s="33"/>
      <c r="F25" s="75">
        <v>32</v>
      </c>
      <c r="G25" s="75">
        <v>17</v>
      </c>
      <c r="H25" s="75">
        <v>2</v>
      </c>
      <c r="I25" s="75">
        <v>35</v>
      </c>
      <c r="J25" s="65">
        <f t="shared" si="0"/>
        <v>0.88235294117647056</v>
      </c>
      <c r="K25" s="65">
        <f t="shared" ref="K25:K26" si="17">IFERROR(F25/H25-1,"n/a")</f>
        <v>15</v>
      </c>
      <c r="L25" s="61">
        <f t="shared" si="12"/>
        <v>-8.5714285714285743E-2</v>
      </c>
      <c r="M25" s="69">
        <f>F25+'Jul-22'!M25</f>
        <v>188</v>
      </c>
      <c r="N25" s="69">
        <f>G25+'Jul-22'!N25</f>
        <v>54</v>
      </c>
      <c r="O25" s="69">
        <f>H25+'Jul-22'!O25</f>
        <v>11</v>
      </c>
      <c r="P25" s="69">
        <f>I25+'Jul-22'!P25</f>
        <v>204</v>
      </c>
      <c r="Q25" s="65">
        <f t="shared" ref="Q25:Q26" si="18">IFERROR(M25/N25-1,"n/a")</f>
        <v>2.4814814814814814</v>
      </c>
      <c r="R25" s="65">
        <f t="shared" ref="R25:R26" si="19">IFERROR(M25/O25-1,"n/a")</f>
        <v>16.09090909090909</v>
      </c>
      <c r="S25" s="61">
        <f t="shared" ref="S25:S26" si="20">IFERROR(M25/P25-1,"n/a")</f>
        <v>-7.8431372549019662E-2</v>
      </c>
      <c r="T25" s="69">
        <v>107</v>
      </c>
      <c r="U25" s="71">
        <v>32</v>
      </c>
      <c r="V25" s="79">
        <v>372</v>
      </c>
    </row>
    <row r="26" spans="1:38" ht="14.4">
      <c r="A26" s="10"/>
      <c r="B26" s="13"/>
      <c r="C26" s="34"/>
      <c r="D26" s="27" t="s">
        <v>11</v>
      </c>
      <c r="E26" s="33"/>
      <c r="F26" s="75">
        <v>96458</v>
      </c>
      <c r="G26" s="75">
        <v>24100</v>
      </c>
      <c r="H26" s="75">
        <v>2541</v>
      </c>
      <c r="I26" s="75">
        <v>108905</v>
      </c>
      <c r="J26" s="65">
        <f t="shared" si="0"/>
        <v>3.0024066390041497</v>
      </c>
      <c r="K26" s="65">
        <f t="shared" si="17"/>
        <v>36.960645415190868</v>
      </c>
      <c r="L26" s="61">
        <f t="shared" si="12"/>
        <v>-0.11429227308204404</v>
      </c>
      <c r="M26" s="69">
        <f>F26+'Jul-22'!M26</f>
        <v>346507</v>
      </c>
      <c r="N26" s="69">
        <f>G26+'Jul-22'!N26</f>
        <v>69550</v>
      </c>
      <c r="O26" s="69">
        <f>H26+'Jul-22'!O26</f>
        <v>42762</v>
      </c>
      <c r="P26" s="69">
        <f>I26+'Jul-22'!P26</f>
        <v>586040</v>
      </c>
      <c r="Q26" s="65">
        <f t="shared" si="18"/>
        <v>3.9821279654924515</v>
      </c>
      <c r="R26" s="65">
        <f t="shared" si="19"/>
        <v>7.1031523315092837</v>
      </c>
      <c r="S26" s="61">
        <f t="shared" si="20"/>
        <v>-0.40873148590539898</v>
      </c>
      <c r="T26" s="69">
        <v>147132</v>
      </c>
      <c r="U26" s="71">
        <v>59180</v>
      </c>
      <c r="V26" s="79">
        <v>902015</v>
      </c>
    </row>
    <row r="27" spans="1:38" ht="14.4">
      <c r="A27" s="10"/>
      <c r="B27" s="13"/>
      <c r="C27" s="32" t="s">
        <v>17</v>
      </c>
      <c r="D27" s="27"/>
      <c r="E27" s="33"/>
      <c r="F27" s="73"/>
      <c r="G27" s="73"/>
      <c r="H27" s="73"/>
      <c r="I27" s="73"/>
      <c r="J27" s="65"/>
      <c r="K27" s="65"/>
      <c r="L27" s="61"/>
      <c r="M27" s="88"/>
      <c r="N27" s="88"/>
      <c r="O27" s="88"/>
      <c r="P27" s="88"/>
      <c r="Q27" s="65"/>
      <c r="R27" s="65"/>
      <c r="S27" s="61"/>
      <c r="T27" s="44"/>
      <c r="U27" s="45"/>
      <c r="V27" s="80"/>
    </row>
    <row r="28" spans="1:38" ht="14.4">
      <c r="B28" s="13"/>
      <c r="C28" s="34"/>
      <c r="D28" s="27" t="s">
        <v>5</v>
      </c>
      <c r="E28" s="33"/>
      <c r="F28" s="75">
        <v>72</v>
      </c>
      <c r="G28" s="75">
        <v>16</v>
      </c>
      <c r="H28" s="75">
        <v>3</v>
      </c>
      <c r="I28" s="75">
        <v>44</v>
      </c>
      <c r="J28" s="65">
        <f t="shared" si="0"/>
        <v>3.5</v>
      </c>
      <c r="K28" s="65">
        <f t="shared" ref="K28:K31" si="21">IFERROR(F28/H28-1,"n/a")</f>
        <v>23</v>
      </c>
      <c r="L28" s="61">
        <f t="shared" si="12"/>
        <v>0.63636363636363646</v>
      </c>
      <c r="M28" s="69">
        <f>F28+'Jul-22'!M28</f>
        <v>346</v>
      </c>
      <c r="N28" s="69">
        <f>G28+'Jul-22'!N28</f>
        <v>56</v>
      </c>
      <c r="O28" s="69">
        <f>H28+'Jul-22'!O28</f>
        <v>5</v>
      </c>
      <c r="P28" s="69">
        <f>I28+'Jul-22'!P28</f>
        <v>216</v>
      </c>
      <c r="Q28" s="65">
        <f t="shared" ref="Q28:Q31" si="22">IFERROR(M28/N28-1,"n/a")</f>
        <v>5.1785714285714288</v>
      </c>
      <c r="R28" s="65">
        <f t="shared" ref="R28:R31" si="23">IFERROR(M28/O28-1,"n/a")</f>
        <v>68.2</v>
      </c>
      <c r="S28" s="61">
        <f t="shared" ref="S28:S31" si="24">IFERROR(M28/P28-1,"n/a")</f>
        <v>0.60185185185185186</v>
      </c>
      <c r="T28" s="69">
        <v>124</v>
      </c>
      <c r="U28" s="71">
        <v>37</v>
      </c>
      <c r="V28" s="79">
        <f>282+81</f>
        <v>363</v>
      </c>
    </row>
    <row r="29" spans="1:38" ht="14.4">
      <c r="A29" s="10"/>
      <c r="B29" s="13"/>
      <c r="C29" s="34"/>
      <c r="D29" s="27" t="s">
        <v>11</v>
      </c>
      <c r="E29" s="33"/>
      <c r="F29" s="75">
        <f>151084+25399+7611</f>
        <v>184094</v>
      </c>
      <c r="G29" s="75">
        <v>25181</v>
      </c>
      <c r="H29" s="72">
        <v>0</v>
      </c>
      <c r="I29" s="75">
        <f>100123+26729+22999</f>
        <v>149851</v>
      </c>
      <c r="J29" s="65">
        <f t="shared" si="0"/>
        <v>6.310829593741313</v>
      </c>
      <c r="K29" s="65" t="str">
        <f t="shared" si="21"/>
        <v>n/a</v>
      </c>
      <c r="L29" s="61">
        <f t="shared" si="12"/>
        <v>0.22851365689918657</v>
      </c>
      <c r="M29" s="69">
        <f>F29+'Jul-22'!M29</f>
        <v>543174</v>
      </c>
      <c r="N29" s="69">
        <f>G29+'Jul-22'!N29</f>
        <v>81814</v>
      </c>
      <c r="O29" s="69">
        <f>H29+'Jul-22'!O29</f>
        <v>9186</v>
      </c>
      <c r="P29" s="69">
        <f>I29+'Jul-22'!P29</f>
        <v>592980</v>
      </c>
      <c r="Q29" s="65">
        <f t="shared" si="22"/>
        <v>5.6391326667807462</v>
      </c>
      <c r="R29" s="65">
        <f t="shared" si="23"/>
        <v>58.130633572828216</v>
      </c>
      <c r="S29" s="61">
        <f t="shared" si="24"/>
        <v>-8.3992714762723852E-2</v>
      </c>
      <c r="T29" s="69">
        <v>165083</v>
      </c>
      <c r="U29" s="71">
        <f>20768+8294</f>
        <v>29062</v>
      </c>
      <c r="V29" s="79">
        <f>659951+168729+38484</f>
        <v>867164</v>
      </c>
    </row>
    <row r="30" spans="1:38" ht="15" customHeight="1" thickBot="1">
      <c r="A30" s="10"/>
      <c r="B30" s="13"/>
      <c r="C30" s="36" t="s">
        <v>12</v>
      </c>
      <c r="D30" s="37"/>
      <c r="E30" s="38"/>
      <c r="F30" s="76">
        <f t="shared" ref="F30:I31" si="25">F13+F16+F19+F22+F25+F28</f>
        <v>310</v>
      </c>
      <c r="G30" s="76">
        <f t="shared" si="25"/>
        <v>108</v>
      </c>
      <c r="H30" s="76">
        <f t="shared" si="25"/>
        <v>5</v>
      </c>
      <c r="I30" s="76">
        <f t="shared" si="25"/>
        <v>272</v>
      </c>
      <c r="J30" s="67">
        <f t="shared" si="0"/>
        <v>1.8703703703703702</v>
      </c>
      <c r="K30" s="67">
        <f t="shared" si="21"/>
        <v>61</v>
      </c>
      <c r="L30" s="63">
        <f t="shared" si="12"/>
        <v>0.13970588235294112</v>
      </c>
      <c r="M30" s="47">
        <f t="shared" ref="M30:P31" si="26">M13+M16+M19+M22+M25+M28</f>
        <v>2268</v>
      </c>
      <c r="N30" s="47">
        <f t="shared" si="26"/>
        <v>234</v>
      </c>
      <c r="O30" s="47">
        <f t="shared" si="26"/>
        <v>614</v>
      </c>
      <c r="P30" s="47">
        <f t="shared" si="26"/>
        <v>2077</v>
      </c>
      <c r="Q30" s="67">
        <f t="shared" si="22"/>
        <v>8.6923076923076916</v>
      </c>
      <c r="R30" s="67">
        <f t="shared" si="23"/>
        <v>2.6938110749185666</v>
      </c>
      <c r="S30" s="63">
        <f t="shared" si="24"/>
        <v>9.1959557053442387E-2</v>
      </c>
      <c r="T30" s="47">
        <f t="shared" ref="T30:V31" si="27">T13+T16+T19+T22+T25+T28</f>
        <v>1059</v>
      </c>
      <c r="U30" s="47">
        <f t="shared" si="27"/>
        <v>667</v>
      </c>
      <c r="V30" s="81">
        <f t="shared" si="27"/>
        <v>3344</v>
      </c>
    </row>
    <row r="31" spans="1:38" s="23" customFormat="1" ht="15" customHeight="1" thickTop="1" thickBot="1">
      <c r="A31" s="10"/>
      <c r="B31" s="13"/>
      <c r="C31" s="39" t="s">
        <v>13</v>
      </c>
      <c r="D31" s="40"/>
      <c r="E31" s="41"/>
      <c r="F31" s="77">
        <f t="shared" si="25"/>
        <v>888814</v>
      </c>
      <c r="G31" s="77">
        <f t="shared" si="25"/>
        <v>165560</v>
      </c>
      <c r="H31" s="77">
        <f t="shared" si="25"/>
        <v>2541</v>
      </c>
      <c r="I31" s="77">
        <f t="shared" si="25"/>
        <v>926112</v>
      </c>
      <c r="J31" s="68">
        <f t="shared" si="0"/>
        <v>4.368531046146412</v>
      </c>
      <c r="K31" s="68">
        <f t="shared" si="21"/>
        <v>348.78905942542303</v>
      </c>
      <c r="L31" s="64">
        <f t="shared" si="12"/>
        <v>-4.0273746587885739E-2</v>
      </c>
      <c r="M31" s="48">
        <f t="shared" si="26"/>
        <v>4378949</v>
      </c>
      <c r="N31" s="48">
        <f t="shared" si="26"/>
        <v>332144</v>
      </c>
      <c r="O31" s="48">
        <f t="shared" si="26"/>
        <v>1287137</v>
      </c>
      <c r="P31" s="48">
        <f t="shared" si="26"/>
        <v>6070338</v>
      </c>
      <c r="Q31" s="68">
        <f t="shared" si="22"/>
        <v>12.183887109205646</v>
      </c>
      <c r="R31" s="68">
        <f t="shared" si="23"/>
        <v>2.4020846265782119</v>
      </c>
      <c r="S31" s="64">
        <f t="shared" si="24"/>
        <v>-0.27863176646835808</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5"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4.4">
      <c r="A34" s="10"/>
      <c r="B34" s="11"/>
      <c r="C34" s="87" t="s">
        <v>63</v>
      </c>
      <c r="D34" s="25"/>
      <c r="E34" s="25"/>
      <c r="F34" s="25"/>
      <c r="G34" s="25"/>
      <c r="H34" s="25"/>
      <c r="I34" s="25"/>
      <c r="J34" s="25"/>
      <c r="K34" s="25"/>
      <c r="L34" s="25"/>
      <c r="M34" s="25"/>
      <c r="N34" s="25"/>
      <c r="O34" s="25"/>
      <c r="P34" s="25"/>
      <c r="Q34" s="25"/>
      <c r="R34" s="25"/>
      <c r="S34" s="25"/>
      <c r="T34" s="25"/>
      <c r="U34" s="25"/>
      <c r="V34" s="25"/>
    </row>
    <row r="35" spans="1:22" ht="14.4">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02" t="str">
        <f>F9</f>
        <v>August</v>
      </c>
      <c r="G36" s="102"/>
      <c r="H36" s="102"/>
      <c r="I36" s="102"/>
      <c r="J36" s="102"/>
      <c r="K36" s="102"/>
      <c r="L36" s="103"/>
      <c r="M36" s="104" t="s">
        <v>70</v>
      </c>
      <c r="N36" s="102"/>
      <c r="O36" s="102"/>
      <c r="P36" s="102"/>
      <c r="Q36" s="102"/>
      <c r="R36" s="102"/>
      <c r="S36" s="103"/>
      <c r="T36" s="104" t="s">
        <v>58</v>
      </c>
      <c r="U36" s="102"/>
      <c r="V36" s="105"/>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0</v>
      </c>
      <c r="G40" s="75">
        <f t="shared" ref="G40:I40" si="28">G13</f>
        <v>7</v>
      </c>
      <c r="H40" s="72">
        <f t="shared" si="28"/>
        <v>0</v>
      </c>
      <c r="I40" s="72">
        <f t="shared" si="28"/>
        <v>4</v>
      </c>
      <c r="J40" s="65">
        <f t="shared" ref="J40:J41" si="29">IFERROR(F40/G40-1,"n/a")</f>
        <v>-1</v>
      </c>
      <c r="K40" s="65" t="str">
        <f>IFERROR(F40/H40-1,"n/a")</f>
        <v>n/a</v>
      </c>
      <c r="L40" s="61">
        <f t="shared" ref="L40:L41" si="30">IFERROR(F40/I40-1,"n/a")</f>
        <v>-1</v>
      </c>
      <c r="M40" s="71">
        <f>+M13-'Mar-22'!M10</f>
        <v>30</v>
      </c>
      <c r="N40" s="71">
        <f>+N13-'Mar-22'!N10</f>
        <v>13</v>
      </c>
      <c r="O40" s="83">
        <f>+O13-'Mar-22'!O10</f>
        <v>0</v>
      </c>
      <c r="P40" s="71">
        <f>+P13-'Mar-22'!P10</f>
        <v>50</v>
      </c>
      <c r="Q40" s="65">
        <f>IFERROR(M40/N40-1,"n/a")</f>
        <v>1.3076923076923075</v>
      </c>
      <c r="R40" s="65" t="str">
        <f>IFERROR(M40/O40-1,"n/a")</f>
        <v>n/a</v>
      </c>
      <c r="S40" s="61">
        <f>IFERROR(M40/P40-1,"n/a")</f>
        <v>-0.4</v>
      </c>
      <c r="T40" s="90">
        <v>308</v>
      </c>
      <c r="U40" s="71">
        <v>145</v>
      </c>
      <c r="V40" s="79">
        <v>331</v>
      </c>
    </row>
    <row r="41" spans="1:22" s="10" customFormat="1" ht="15" customHeight="1">
      <c r="C41" s="34"/>
      <c r="D41" s="27" t="s">
        <v>11</v>
      </c>
      <c r="E41" s="33"/>
      <c r="F41" s="75">
        <f t="shared" ref="F41:I41" si="31">F14</f>
        <v>0</v>
      </c>
      <c r="G41" s="75">
        <f t="shared" si="31"/>
        <v>1816</v>
      </c>
      <c r="H41" s="72">
        <f t="shared" si="31"/>
        <v>0</v>
      </c>
      <c r="I41" s="75">
        <f t="shared" si="31"/>
        <v>9607</v>
      </c>
      <c r="J41" s="65">
        <f t="shared" si="29"/>
        <v>-1</v>
      </c>
      <c r="K41" s="65" t="str">
        <f t="shared" ref="K41" si="32">IFERROR(F41/H41-1,"n/a")</f>
        <v>n/a</v>
      </c>
      <c r="L41" s="61">
        <f t="shared" si="30"/>
        <v>-1</v>
      </c>
      <c r="M41" s="83">
        <f>+M14-'Mar-22'!M11</f>
        <v>37841</v>
      </c>
      <c r="N41" s="83">
        <f>+N14-'Mar-22'!N11</f>
        <v>2583</v>
      </c>
      <c r="O41" s="83">
        <f>+O14-'Mar-22'!O11</f>
        <v>0</v>
      </c>
      <c r="P41" s="83">
        <f>+P14-'Mar-22'!P11</f>
        <v>95751</v>
      </c>
      <c r="Q41" s="65">
        <f>IFERROR(M41/N41-1,"n/a")</f>
        <v>13.650019357336431</v>
      </c>
      <c r="R41" s="65" t="str">
        <f>IFERROR(M41/O41-1,"n/a")</f>
        <v>n/a</v>
      </c>
      <c r="S41" s="61">
        <f>IFERROR(M41/P41-1,"n/a")</f>
        <v>-0.60479786111894396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57</v>
      </c>
      <c r="G43" s="75">
        <f t="shared" si="33"/>
        <v>24</v>
      </c>
      <c r="H43" s="72">
        <f t="shared" si="33"/>
        <v>0</v>
      </c>
      <c r="I43" s="75">
        <f t="shared" si="33"/>
        <v>69</v>
      </c>
      <c r="J43" s="65">
        <f t="shared" ref="J43:J44" si="34">IFERROR(F43/G43-1,"n/a")</f>
        <v>1.375</v>
      </c>
      <c r="K43" s="65" t="str">
        <f t="shared" ref="K43:K44" si="35">IFERROR(F43/H43-1,"n/a")</f>
        <v>n/a</v>
      </c>
      <c r="L43" s="61">
        <f t="shared" ref="L43:L44" si="36">IFERROR(F43/I43-1,"n/a")</f>
        <v>-0.17391304347826086</v>
      </c>
      <c r="M43" s="71">
        <f>+M16-'Mar-22'!M13</f>
        <v>395</v>
      </c>
      <c r="N43" s="71">
        <f>+N16-'Mar-22'!N13</f>
        <v>38</v>
      </c>
      <c r="O43" s="83">
        <f>+O16-'Mar-22'!O13</f>
        <v>0</v>
      </c>
      <c r="P43" s="71">
        <f>+P16-'Mar-22'!P13</f>
        <v>410</v>
      </c>
      <c r="Q43" s="65">
        <f>IFERROR(M43/N43-1,"n/a")</f>
        <v>9.3947368421052637</v>
      </c>
      <c r="R43" s="65" t="str">
        <f>IFERROR(M43/O43-1,"n/a")</f>
        <v>n/a</v>
      </c>
      <c r="S43" s="61">
        <f t="shared" ref="S43:S44" si="37">IFERROR(M43/P43-1,"n/a")</f>
        <v>-3.6585365853658569E-2</v>
      </c>
      <c r="T43" s="90">
        <v>336</v>
      </c>
      <c r="U43" s="71">
        <v>43</v>
      </c>
      <c r="V43" s="79">
        <v>781</v>
      </c>
    </row>
    <row r="44" spans="1:22" s="10" customFormat="1" ht="15" customHeight="1">
      <c r="C44" s="34"/>
      <c r="D44" s="27" t="s">
        <v>11</v>
      </c>
      <c r="E44" s="33"/>
      <c r="F44" s="75">
        <f t="shared" si="33"/>
        <v>227186</v>
      </c>
      <c r="G44" s="75">
        <f t="shared" si="33"/>
        <v>49688</v>
      </c>
      <c r="H44" s="72">
        <f t="shared" si="33"/>
        <v>0</v>
      </c>
      <c r="I44" s="75">
        <f t="shared" si="33"/>
        <v>291759</v>
      </c>
      <c r="J44" s="65">
        <f t="shared" si="34"/>
        <v>3.572250845274513</v>
      </c>
      <c r="K44" s="65" t="str">
        <f t="shared" si="35"/>
        <v>n/a</v>
      </c>
      <c r="L44" s="61">
        <f t="shared" si="36"/>
        <v>-0.2213230782940715</v>
      </c>
      <c r="M44" s="83">
        <f>+M17-'Mar-22'!M14</f>
        <v>963849</v>
      </c>
      <c r="N44" s="83">
        <f>+N17-'Mar-22'!N14</f>
        <v>78164</v>
      </c>
      <c r="O44" s="83">
        <f>+O17-'Mar-22'!O14</f>
        <v>0</v>
      </c>
      <c r="P44" s="83">
        <f>+P17-'Mar-22'!P14</f>
        <v>1341508</v>
      </c>
      <c r="Q44" s="65">
        <f>IFERROR(M44/N44-1,"n/a")</f>
        <v>11.33111150913464</v>
      </c>
      <c r="R44" s="65" t="str">
        <f>IFERROR(M44/O44-1,"n/a")</f>
        <v>n/a</v>
      </c>
      <c r="S44" s="61">
        <f t="shared" si="37"/>
        <v>-0.28151826153850745</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68</v>
      </c>
      <c r="G46" s="72">
        <f t="shared" si="38"/>
        <v>0</v>
      </c>
      <c r="H46" s="72">
        <f t="shared" si="38"/>
        <v>0</v>
      </c>
      <c r="I46" s="75">
        <f t="shared" si="38"/>
        <v>27</v>
      </c>
      <c r="J46" s="65" t="str">
        <f t="shared" ref="J46:J47" si="39">IFERROR(F46/G46-1,"n/a")</f>
        <v>n/a</v>
      </c>
      <c r="K46" s="65" t="str">
        <f t="shared" ref="K46:K47" si="40">IFERROR(F46/H46-1,"n/a")</f>
        <v>n/a</v>
      </c>
      <c r="L46" s="61">
        <f>IFERROR(F46/I46-1,"n/a")</f>
        <v>1.5185185185185186</v>
      </c>
      <c r="M46" s="71">
        <f>+M19-'Mar-22'!M16</f>
        <v>285</v>
      </c>
      <c r="N46" s="83">
        <f>+N19-'Mar-22'!N16</f>
        <v>0</v>
      </c>
      <c r="O46" s="83">
        <f>+O19-'Mar-22'!O16</f>
        <v>1</v>
      </c>
      <c r="P46" s="83">
        <f>+P19-'Mar-22'!P16</f>
        <v>122</v>
      </c>
      <c r="Q46" s="65" t="str">
        <f>IFERROR(M46/N46-1,"n/a")</f>
        <v>n/a</v>
      </c>
      <c r="R46" s="65">
        <f>IFERROR(M46/O46-1,"n/a")</f>
        <v>284</v>
      </c>
      <c r="S46" s="61">
        <f t="shared" ref="S46:S47" si="41">IFERROR(M46/P46-1,"n/a")</f>
        <v>1.3360655737704916</v>
      </c>
      <c r="T46" s="90">
        <v>33</v>
      </c>
      <c r="U46" s="71">
        <v>4</v>
      </c>
      <c r="V46" s="79">
        <v>188</v>
      </c>
    </row>
    <row r="47" spans="1:22" s="10" customFormat="1" ht="15" customHeight="1">
      <c r="C47" s="34"/>
      <c r="D47" s="27" t="s">
        <v>11</v>
      </c>
      <c r="E47" s="33"/>
      <c r="F47" s="75">
        <f t="shared" si="38"/>
        <v>102556</v>
      </c>
      <c r="G47" s="72">
        <f t="shared" si="38"/>
        <v>0</v>
      </c>
      <c r="H47" s="72">
        <f t="shared" si="38"/>
        <v>0</v>
      </c>
      <c r="I47" s="75">
        <f t="shared" si="38"/>
        <v>50351</v>
      </c>
      <c r="J47" s="65" t="str">
        <f t="shared" si="39"/>
        <v>n/a</v>
      </c>
      <c r="K47" s="65" t="str">
        <f t="shared" si="40"/>
        <v>n/a</v>
      </c>
      <c r="L47" s="61">
        <f t="shared" ref="L47" si="42">IFERROR(F47/I47-1,"n/a")</f>
        <v>1.036821512978888</v>
      </c>
      <c r="M47" s="83">
        <f>+M20-'Mar-22'!M17</f>
        <v>340762</v>
      </c>
      <c r="N47" s="83">
        <f>+N20-'Mar-22'!N17</f>
        <v>0</v>
      </c>
      <c r="O47" s="83">
        <f>+O20-'Mar-22'!O17</f>
        <v>111</v>
      </c>
      <c r="P47" s="83">
        <f>+P20-'Mar-22'!P17</f>
        <v>162404</v>
      </c>
      <c r="Q47" s="65" t="str">
        <f>IFERROR(M47/N47-1,"n/a")</f>
        <v>n/a</v>
      </c>
      <c r="R47" s="65">
        <f>IFERROR(M47/O47-1,"n/a")</f>
        <v>3068.9279279279281</v>
      </c>
      <c r="S47" s="61">
        <f t="shared" si="41"/>
        <v>1.0982364966380138</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81</v>
      </c>
      <c r="G49" s="75">
        <f t="shared" si="43"/>
        <v>44</v>
      </c>
      <c r="H49" s="72">
        <f t="shared" si="43"/>
        <v>0</v>
      </c>
      <c r="I49" s="75">
        <f t="shared" si="43"/>
        <v>93</v>
      </c>
      <c r="J49" s="65">
        <f t="shared" ref="J49:J50" si="44">IFERROR(F49/G49-1,"n/a")</f>
        <v>0.84090909090909083</v>
      </c>
      <c r="K49" s="65" t="str">
        <f t="shared" ref="K49:K50" si="45">IFERROR(F49/H49-1,"n/a")</f>
        <v>n/a</v>
      </c>
      <c r="L49" s="61">
        <f t="shared" ref="L49:L50" si="46">IFERROR(F49/I49-1,"n/a")</f>
        <v>-0.12903225806451613</v>
      </c>
      <c r="M49" s="71">
        <f>+M22-'Mar-22'!M19</f>
        <v>431</v>
      </c>
      <c r="N49" s="71">
        <f>+N22-'Mar-22'!N19</f>
        <v>73</v>
      </c>
      <c r="O49" s="71">
        <f>+O22-'Mar-22'!O19</f>
        <v>42</v>
      </c>
      <c r="P49" s="71">
        <f>+P22-'Mar-22'!P19</f>
        <v>464</v>
      </c>
      <c r="Q49" s="65">
        <f>IFERROR(M49/N49-1,"n/a")</f>
        <v>4.904109589041096</v>
      </c>
      <c r="R49" s="65">
        <f>IFERROR(M49/O49-1,"n/a")</f>
        <v>9.2619047619047628</v>
      </c>
      <c r="S49" s="61">
        <f>IFERROR(M49/P49-1,"n/a")</f>
        <v>-7.1120689655172376E-2</v>
      </c>
      <c r="T49" s="90">
        <v>744</v>
      </c>
      <c r="U49" s="85">
        <v>406</v>
      </c>
      <c r="V49" s="79">
        <v>1253</v>
      </c>
    </row>
    <row r="50" spans="3:22" s="10" customFormat="1" ht="15" customHeight="1">
      <c r="C50" s="34"/>
      <c r="D50" s="27" t="s">
        <v>11</v>
      </c>
      <c r="E50" s="33"/>
      <c r="F50" s="74">
        <f t="shared" si="43"/>
        <v>278520</v>
      </c>
      <c r="G50" s="75">
        <f t="shared" si="43"/>
        <v>64775</v>
      </c>
      <c r="H50" s="72">
        <f t="shared" si="43"/>
        <v>0</v>
      </c>
      <c r="I50" s="75">
        <f t="shared" si="43"/>
        <v>315639</v>
      </c>
      <c r="J50" s="65">
        <f t="shared" si="44"/>
        <v>3.2998070243149362</v>
      </c>
      <c r="K50" s="65" t="str">
        <f t="shared" si="45"/>
        <v>n/a</v>
      </c>
      <c r="L50" s="61">
        <f t="shared" si="46"/>
        <v>-0.11759953617898933</v>
      </c>
      <c r="M50" s="83">
        <f>+M23-'Mar-22'!M20</f>
        <v>1317232</v>
      </c>
      <c r="N50" s="83">
        <f>+N23-'Mar-22'!N20</f>
        <v>100033</v>
      </c>
      <c r="O50" s="83">
        <f>+O23-'Mar-22'!O20</f>
        <v>0</v>
      </c>
      <c r="P50" s="83">
        <f>+P23-'Mar-22'!P20</f>
        <v>1583513</v>
      </c>
      <c r="Q50" s="65">
        <f>IFERROR(M50/N50-1,"n/a")</f>
        <v>12.167974568392431</v>
      </c>
      <c r="R50" s="65" t="str">
        <f>IFERROR(M50/O50-1,"n/a")</f>
        <v>n/a</v>
      </c>
      <c r="S50" s="61">
        <f t="shared" ref="S50" si="47">IFERROR(M50/P50-1,"n/a")</f>
        <v>-0.16815839213192441</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32</v>
      </c>
      <c r="G52" s="75">
        <f t="shared" si="48"/>
        <v>17</v>
      </c>
      <c r="H52" s="72">
        <f t="shared" si="48"/>
        <v>2</v>
      </c>
      <c r="I52" s="75">
        <f t="shared" si="48"/>
        <v>35</v>
      </c>
      <c r="J52" s="65">
        <f t="shared" ref="J52:J53" si="49">IFERROR(F52/G52-1,"n/a")</f>
        <v>0.88235294117647056</v>
      </c>
      <c r="K52" s="65">
        <f t="shared" ref="K52:K53" si="50">IFERROR(F52/H52-1,"n/a")</f>
        <v>15</v>
      </c>
      <c r="L52" s="61">
        <f t="shared" ref="L52:L53" si="51">IFERROR(F52/I52-1,"n/a")</f>
        <v>-8.5714285714285743E-2</v>
      </c>
      <c r="M52" s="71">
        <f>+M25-'Mar-22'!M22</f>
        <v>165</v>
      </c>
      <c r="N52" s="71">
        <f>+N25-'Mar-22'!N22</f>
        <v>45</v>
      </c>
      <c r="O52" s="83">
        <f>+O25-'Mar-22'!O22</f>
        <v>2</v>
      </c>
      <c r="P52" s="71">
        <f>+P25-'Mar-22'!P22</f>
        <v>184</v>
      </c>
      <c r="Q52" s="65">
        <f>IFERROR(M52/N52-1,"n/a")</f>
        <v>2.6666666666666665</v>
      </c>
      <c r="R52" s="65">
        <f>IFERROR(M52/O52-1,"n/a")</f>
        <v>81.5</v>
      </c>
      <c r="S52" s="61">
        <f t="shared" ref="S52:S53" si="52">IFERROR(M52/P52-1,"n/a")</f>
        <v>-0.10326086956521741</v>
      </c>
      <c r="T52" s="90">
        <v>121</v>
      </c>
      <c r="U52" s="71">
        <v>41</v>
      </c>
      <c r="V52" s="79">
        <v>361</v>
      </c>
    </row>
    <row r="53" spans="3:22" s="10" customFormat="1" ht="15" customHeight="1">
      <c r="C53" s="34"/>
      <c r="D53" s="27" t="s">
        <v>11</v>
      </c>
      <c r="E53" s="33"/>
      <c r="F53" s="75">
        <f t="shared" si="48"/>
        <v>96458</v>
      </c>
      <c r="G53" s="75">
        <f t="shared" si="48"/>
        <v>24100</v>
      </c>
      <c r="H53" s="72">
        <f t="shared" si="48"/>
        <v>2541</v>
      </c>
      <c r="I53" s="75">
        <f t="shared" si="48"/>
        <v>108905</v>
      </c>
      <c r="J53" s="65">
        <f t="shared" si="49"/>
        <v>3.0024066390041497</v>
      </c>
      <c r="K53" s="65">
        <f t="shared" si="50"/>
        <v>36.960645415190868</v>
      </c>
      <c r="L53" s="61">
        <f t="shared" si="51"/>
        <v>-0.11429227308204404</v>
      </c>
      <c r="M53" s="83">
        <f>+M26-'Mar-22'!M23</f>
        <v>319986</v>
      </c>
      <c r="N53" s="83">
        <f>+N26-'Mar-22'!N23</f>
        <v>61586</v>
      </c>
      <c r="O53" s="83">
        <f>+O26-'Mar-22'!O23</f>
        <v>2541</v>
      </c>
      <c r="P53" s="83">
        <f>+P26-'Mar-22'!P23</f>
        <v>509765</v>
      </c>
      <c r="Q53" s="65">
        <f>IFERROR(M53/N53-1,"n/a")</f>
        <v>4.1957587763452731</v>
      </c>
      <c r="R53" s="65">
        <f>IFERROR(M53/O53-1,"n/a")</f>
        <v>124.92916174734357</v>
      </c>
      <c r="S53" s="61">
        <f t="shared" si="52"/>
        <v>-0.37228723039047407</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5" customHeight="1">
      <c r="C55" s="34"/>
      <c r="D55" s="27" t="s">
        <v>5</v>
      </c>
      <c r="E55" s="33"/>
      <c r="F55" s="75">
        <f t="shared" ref="F55:I56" si="53">F28</f>
        <v>72</v>
      </c>
      <c r="G55" s="75">
        <f t="shared" si="53"/>
        <v>16</v>
      </c>
      <c r="H55" s="72">
        <f t="shared" si="53"/>
        <v>3</v>
      </c>
      <c r="I55" s="75">
        <f t="shared" si="53"/>
        <v>44</v>
      </c>
      <c r="J55" s="65">
        <f t="shared" ref="J55:J58" si="54">IFERROR(F55/G55-1,"n/a")</f>
        <v>3.5</v>
      </c>
      <c r="K55" s="65">
        <f t="shared" ref="K55:K58" si="55">IFERROR(F55/H55-1,"n/a")</f>
        <v>23</v>
      </c>
      <c r="L55" s="61">
        <f t="shared" ref="L55:L58" si="56">IFERROR(F55/I55-1,"n/a")</f>
        <v>0.63636363636363646</v>
      </c>
      <c r="M55" s="71">
        <f>+M28-'Mar-22'!M25</f>
        <v>330</v>
      </c>
      <c r="N55" s="71">
        <f>+N28-'Mar-22'!N25</f>
        <v>53</v>
      </c>
      <c r="O55" s="71">
        <f>+O28-'Mar-22'!O25</f>
        <v>4</v>
      </c>
      <c r="P55" s="71">
        <f>+P28-'Mar-22'!P25</f>
        <v>212</v>
      </c>
      <c r="Q55" s="65">
        <f>IFERROR(M55/N55-1,"n/a")</f>
        <v>5.2264150943396226</v>
      </c>
      <c r="R55" s="65">
        <f>IFERROR(M55/O55-1,"n/a")</f>
        <v>81.5</v>
      </c>
      <c r="S55" s="61">
        <f t="shared" ref="S55:S58" si="57">IFERROR(M55/P55-1,"n/a")</f>
        <v>0.55660377358490565</v>
      </c>
      <c r="T55" s="90">
        <v>140</v>
      </c>
      <c r="U55" s="71">
        <v>40</v>
      </c>
      <c r="V55" s="79">
        <v>360</v>
      </c>
    </row>
    <row r="56" spans="3:22" ht="15.45" customHeight="1">
      <c r="C56" s="34"/>
      <c r="D56" s="27" t="s">
        <v>11</v>
      </c>
      <c r="E56" s="33"/>
      <c r="F56" s="75">
        <f t="shared" si="53"/>
        <v>184094</v>
      </c>
      <c r="G56" s="75">
        <f t="shared" si="53"/>
        <v>25181</v>
      </c>
      <c r="H56" s="72">
        <f t="shared" si="53"/>
        <v>0</v>
      </c>
      <c r="I56" s="75">
        <f t="shared" si="53"/>
        <v>149851</v>
      </c>
      <c r="J56" s="65">
        <f t="shared" si="54"/>
        <v>6.310829593741313</v>
      </c>
      <c r="K56" s="65" t="str">
        <f t="shared" si="55"/>
        <v>n/a</v>
      </c>
      <c r="L56" s="61">
        <f t="shared" si="56"/>
        <v>0.22851365689918657</v>
      </c>
      <c r="M56" s="83">
        <f>+M29-'Mar-22'!M26</f>
        <v>531574</v>
      </c>
      <c r="N56" s="83">
        <f>+N29-'Mar-22'!N26</f>
        <v>79675</v>
      </c>
      <c r="O56" s="83">
        <f>+O29-'Mar-22'!O26</f>
        <v>8294</v>
      </c>
      <c r="P56" s="83">
        <f>+P29-'Mar-22'!P26</f>
        <v>586871</v>
      </c>
      <c r="Q56" s="65">
        <f>IFERROR(M56/N56-1,"n/a")</f>
        <v>5.6717791026043303</v>
      </c>
      <c r="R56" s="65">
        <f>IFERROR(M56/O56-1,"n/a")</f>
        <v>63.091391367253436</v>
      </c>
      <c r="S56" s="61">
        <f t="shared" si="57"/>
        <v>-9.4223432406780994E-2</v>
      </c>
      <c r="T56" s="83">
        <v>174336</v>
      </c>
      <c r="U56" s="85">
        <v>21928</v>
      </c>
      <c r="V56" s="79">
        <f>706948+155011</f>
        <v>861959</v>
      </c>
    </row>
    <row r="57" spans="3:22" ht="26.7" customHeight="1" thickBot="1">
      <c r="C57" s="36" t="s">
        <v>12</v>
      </c>
      <c r="D57" s="37"/>
      <c r="E57" s="38"/>
      <c r="F57" s="76">
        <f t="shared" ref="F57:I58" si="58">F40+F43+F46+F49+F52+F55</f>
        <v>310</v>
      </c>
      <c r="G57" s="76">
        <f t="shared" si="58"/>
        <v>108</v>
      </c>
      <c r="H57" s="76">
        <f t="shared" si="58"/>
        <v>5</v>
      </c>
      <c r="I57" s="76">
        <f t="shared" si="58"/>
        <v>272</v>
      </c>
      <c r="J57" s="67">
        <f t="shared" si="54"/>
        <v>1.8703703703703702</v>
      </c>
      <c r="K57" s="67">
        <f t="shared" si="55"/>
        <v>61</v>
      </c>
      <c r="L57" s="63">
        <f t="shared" si="56"/>
        <v>0.13970588235294112</v>
      </c>
      <c r="M57" s="47">
        <f t="shared" ref="M57:P58" si="59">M40+M43+M46+M49+M52+M55</f>
        <v>1636</v>
      </c>
      <c r="N57" s="47">
        <f t="shared" si="59"/>
        <v>222</v>
      </c>
      <c r="O57" s="47">
        <f t="shared" si="59"/>
        <v>49</v>
      </c>
      <c r="P57" s="47">
        <f t="shared" si="59"/>
        <v>1442</v>
      </c>
      <c r="Q57" s="67">
        <f>IFERROR(M57/N57-1,"n/a")</f>
        <v>6.3693693693693696</v>
      </c>
      <c r="R57" s="67">
        <f>IFERROR(M57/O57-1,"n/a")</f>
        <v>32.387755102040813</v>
      </c>
      <c r="S57" s="63">
        <f t="shared" si="57"/>
        <v>0.13453536754507622</v>
      </c>
      <c r="T57" s="47">
        <f t="shared" ref="T57:V58" si="60">T40+T43+T46+T49+T52+T55</f>
        <v>1682</v>
      </c>
      <c r="U57" s="47">
        <f t="shared" si="60"/>
        <v>679</v>
      </c>
      <c r="V57" s="81">
        <f t="shared" si="60"/>
        <v>3274</v>
      </c>
    </row>
    <row r="58" spans="3:22" ht="26.7" customHeight="1" thickTop="1" thickBot="1">
      <c r="C58" s="39" t="s">
        <v>13</v>
      </c>
      <c r="D58" s="40"/>
      <c r="E58" s="41"/>
      <c r="F58" s="77">
        <f t="shared" si="58"/>
        <v>888814</v>
      </c>
      <c r="G58" s="77">
        <f t="shared" si="58"/>
        <v>165560</v>
      </c>
      <c r="H58" s="77">
        <f t="shared" si="58"/>
        <v>2541</v>
      </c>
      <c r="I58" s="77">
        <f t="shared" si="58"/>
        <v>926112</v>
      </c>
      <c r="J58" s="68">
        <f t="shared" si="54"/>
        <v>4.368531046146412</v>
      </c>
      <c r="K58" s="68">
        <f t="shared" si="55"/>
        <v>348.78905942542303</v>
      </c>
      <c r="L58" s="64">
        <f t="shared" si="56"/>
        <v>-4.0273746587885739E-2</v>
      </c>
      <c r="M58" s="48">
        <f t="shared" si="59"/>
        <v>3511244</v>
      </c>
      <c r="N58" s="48">
        <f t="shared" si="59"/>
        <v>322041</v>
      </c>
      <c r="O58" s="48">
        <f t="shared" si="59"/>
        <v>10946</v>
      </c>
      <c r="P58" s="48">
        <f t="shared" si="59"/>
        <v>4279812</v>
      </c>
      <c r="Q58" s="68">
        <f>IFERROR(M58/N58-1,"n/a")</f>
        <v>9.9030961896156082</v>
      </c>
      <c r="R58" s="68">
        <f>IFERROR(M58/O58-1,"n/a")</f>
        <v>319.7787319568792</v>
      </c>
      <c r="S58" s="64">
        <f t="shared" si="57"/>
        <v>-0.17957985070372251</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4" ma:contentTypeDescription="Yeni belge oluşturun." ma:contentTypeScope="" ma:versionID="61a40187e2212e51edb319a963448ee2">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b0e2362bb27755005105daec4935fc"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8747EAB-526E-4472-B45C-6952D0E467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A16FC12F-4478-42E3-9A48-BDD9224AE15B}">
  <ds:schemaRefs>
    <ds:schemaRef ds:uri="http://schemas.microsoft.com/office/2006/documentManagement/types"/>
    <ds:schemaRef ds:uri="http://purl.org/dc/terms/"/>
    <ds:schemaRef ds:uri="http://schemas.microsoft.com/office/infopath/2007/PartnerControls"/>
    <ds:schemaRef ds:uri="50acc271-0769-44fa-a07c-5c2dfce6e462"/>
    <ds:schemaRef ds:uri="http://www.w3.org/XML/1998/namespace"/>
    <ds:schemaRef ds:uri="http://purl.org/dc/elements/1.1/"/>
    <ds:schemaRef ds:uri="http://schemas.openxmlformats.org/package/2006/metadata/core-properties"/>
    <ds:schemaRef ds:uri="8cd7474e-1d48-42f1-a929-9fa835c241d5"/>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3</vt:i4>
      </vt:variant>
    </vt:vector>
  </HeadingPairs>
  <TitlesOfParts>
    <vt:vector size="23" baseType="lpstr">
      <vt:lpstr> </vt:lpstr>
      <vt:lpstr>Disclaimer</vt:lpstr>
      <vt:lpstr>Notes</vt:lpstr>
      <vt:lpstr>Occupancy_2022</vt:lpstr>
      <vt:lpstr>Traffic&gt;</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Guzel Karasu</cp:lastModifiedBy>
  <cp:lastPrinted>2022-08-04T14:43:41Z</cp:lastPrinted>
  <dcterms:created xsi:type="dcterms:W3CDTF">2021-12-10T09:13:50Z</dcterms:created>
  <dcterms:modified xsi:type="dcterms:W3CDTF">2022-12-13T08:10:30Z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