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gyholding.sharepoint.com/sites/Finance/Shared Documents/General/2022/KPI/09-September/"/>
    </mc:Choice>
  </mc:AlternateContent>
  <xr:revisionPtr revIDLastSave="35" documentId="8_{20DF0330-ADAB-4D38-874D-40FE56699DF6}" xr6:coauthVersionLast="47" xr6:coauthVersionMax="47" xr10:uidLastSave="{CFA779B8-DE84-4D47-8DED-6A8BF6CE11A6}"/>
  <bookViews>
    <workbookView xWindow="28680" yWindow="-120" windowWidth="29040" windowHeight="15990" activeTab="5" xr2:uid="{00000000-000D-0000-FFFF-FFFF00000000}"/>
  </bookViews>
  <sheets>
    <sheet name=" " sheetId="3" r:id="rId1"/>
    <sheet name="Disclaimer" sheetId="13" r:id="rId2"/>
    <sheet name="Notes" sheetId="11" r:id="rId3"/>
    <sheet name="Occupancy_2022" sheetId="24" r:id="rId4"/>
    <sheet name="Traffic&gt;" sheetId="25" r:id="rId5"/>
    <sheet name="Sep-22" sheetId="26" r:id="rId6"/>
    <sheet name="Aug-22" sheetId="22" r:id="rId7"/>
    <sheet name="Jul-22" sheetId="21" r:id="rId8"/>
    <sheet name="Jun-22" sheetId="20" r:id="rId9"/>
    <sheet name="May-22" sheetId="19" r:id="rId10"/>
    <sheet name="Apr-22" sheetId="18" r:id="rId11"/>
    <sheet name="Mar-22" sheetId="17" r:id="rId12"/>
    <sheet name="Feb-22" sheetId="16" r:id="rId13"/>
    <sheet name="Jan-22" sheetId="15" r:id="rId14"/>
    <sheet name="Dec-21" sheetId="14" r:id="rId15"/>
    <sheet name="Nov-21" sheetId="10" r:id="rId16"/>
    <sheet name="Oct-21" sheetId="9" r:id="rId17"/>
    <sheet name="Sept-21" sheetId="1" r:id="rId18"/>
  </sheets>
  <externalReferences>
    <externalReference r:id="rId19"/>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0" hidden="1">'Apr-22'!$X:$XFD</definedName>
    <definedName name="Z_5F6D01E3_9E6F_4D7F_980F_63899AF95899_.wvu.Cols" localSheetId="6" hidden="1">'Aug-22'!$X:$XFD</definedName>
    <definedName name="Z_5F6D01E3_9E6F_4D7F_980F_63899AF95899_.wvu.Cols" localSheetId="14" hidden="1">'Dec-21'!$S:$XFD</definedName>
    <definedName name="Z_5F6D01E3_9E6F_4D7F_980F_63899AF95899_.wvu.Cols" localSheetId="1" hidden="1">Disclaimer!$X:$XFD</definedName>
    <definedName name="Z_5F6D01E3_9E6F_4D7F_980F_63899AF95899_.wvu.Cols" localSheetId="12" hidden="1">'Feb-22'!$X:$XFD</definedName>
    <definedName name="Z_5F6D01E3_9E6F_4D7F_980F_63899AF95899_.wvu.Cols" localSheetId="13" hidden="1">'Jan-22'!$X:$XFD</definedName>
    <definedName name="Z_5F6D01E3_9E6F_4D7F_980F_63899AF95899_.wvu.Cols" localSheetId="7" hidden="1">'Jul-22'!$X:$XFD</definedName>
    <definedName name="Z_5F6D01E3_9E6F_4D7F_980F_63899AF95899_.wvu.Cols" localSheetId="8" hidden="1">'Jun-22'!$X:$XFD</definedName>
    <definedName name="Z_5F6D01E3_9E6F_4D7F_980F_63899AF95899_.wvu.Cols" localSheetId="11" hidden="1">'Mar-22'!$X:$XFD</definedName>
    <definedName name="Z_5F6D01E3_9E6F_4D7F_980F_63899AF95899_.wvu.Cols" localSheetId="9" hidden="1">'May-22'!$X:$XFD</definedName>
    <definedName name="Z_5F6D01E3_9E6F_4D7F_980F_63899AF95899_.wvu.Cols" localSheetId="2" hidden="1">Notes!$S:$XFD</definedName>
    <definedName name="Z_5F6D01E3_9E6F_4D7F_980F_63899AF95899_.wvu.Cols" localSheetId="15" hidden="1">'Nov-21'!$S:$XFD</definedName>
    <definedName name="Z_5F6D01E3_9E6F_4D7F_980F_63899AF95899_.wvu.Cols" localSheetId="3" hidden="1">Occupancy_2022!$U:$XFD</definedName>
    <definedName name="Z_5F6D01E3_9E6F_4D7F_980F_63899AF95899_.wvu.Cols" localSheetId="16" hidden="1">'Oct-21'!$S:$XFD</definedName>
    <definedName name="Z_5F6D01E3_9E6F_4D7F_980F_63899AF95899_.wvu.Cols" localSheetId="5" hidden="1">'Sep-22'!$X:$XFD</definedName>
    <definedName name="Z_5F6D01E3_9E6F_4D7F_980F_63899AF95899_.wvu.Cols" localSheetId="17"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0" hidden="1">'Apr-22'!$49:$1048576,'Apr-22'!$30:$48</definedName>
    <definedName name="Z_5F6D01E3_9E6F_4D7F_980F_63899AF95899_.wvu.Rows" localSheetId="14" hidden="1">'Dec-21'!$49:$1048576,'Dec-21'!$30:$48</definedName>
    <definedName name="Z_5F6D01E3_9E6F_4D7F_980F_63899AF95899_.wvu.Rows" localSheetId="1" hidden="1">Disclaimer!$45:$1048576,Disclaimer!$30:$44</definedName>
    <definedName name="Z_5F6D01E3_9E6F_4D7F_980F_63899AF95899_.wvu.Rows" localSheetId="12" hidden="1">'Feb-22'!$49:$1048576,'Feb-22'!$30:$48</definedName>
    <definedName name="Z_5F6D01E3_9E6F_4D7F_980F_63899AF95899_.wvu.Rows" localSheetId="13" hidden="1">'Jan-22'!$49:$1048576,'Jan-22'!$30:$48</definedName>
    <definedName name="Z_5F6D01E3_9E6F_4D7F_980F_63899AF95899_.wvu.Rows" localSheetId="8" hidden="1">'Jun-22'!$49:$1048576,'Jun-22'!$30:$48</definedName>
    <definedName name="Z_5F6D01E3_9E6F_4D7F_980F_63899AF95899_.wvu.Rows" localSheetId="11" hidden="1">'Mar-22'!$49:$1048576,'Mar-22'!$30:$48</definedName>
    <definedName name="Z_5F6D01E3_9E6F_4D7F_980F_63899AF95899_.wvu.Rows" localSheetId="9" hidden="1">'May-22'!$49:$1048576,'May-22'!$30:$48</definedName>
    <definedName name="Z_5F6D01E3_9E6F_4D7F_980F_63899AF95899_.wvu.Rows" localSheetId="2" hidden="1">Notes!$45:$1048576,Notes!$27:$44</definedName>
    <definedName name="Z_5F6D01E3_9E6F_4D7F_980F_63899AF95899_.wvu.Rows" localSheetId="15" hidden="1">'Nov-21'!$49:$1048576,'Nov-21'!$30:$48</definedName>
    <definedName name="Z_5F6D01E3_9E6F_4D7F_980F_63899AF95899_.wvu.Rows" localSheetId="16" hidden="1">'Oct-21'!$49:$1048576,'Oct-21'!$30:$48</definedName>
    <definedName name="Z_5F6D01E3_9E6F_4D7F_980F_63899AF95899_.wvu.Rows" localSheetId="17"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26" l="1"/>
  <c r="F29" i="26"/>
  <c r="P29" i="26" l="1"/>
  <c r="O29" i="26"/>
  <c r="O56" i="26" s="1"/>
  <c r="N29" i="26"/>
  <c r="N56" i="26" s="1"/>
  <c r="M29" i="26"/>
  <c r="M56" i="26" s="1"/>
  <c r="P28" i="26"/>
  <c r="O28" i="26"/>
  <c r="N28" i="26"/>
  <c r="M28" i="26"/>
  <c r="Q28" i="26" s="1"/>
  <c r="P26" i="26"/>
  <c r="O26" i="26"/>
  <c r="O53" i="26" s="1"/>
  <c r="N26" i="26"/>
  <c r="Q26" i="26" s="1"/>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M20" i="26"/>
  <c r="P19" i="26"/>
  <c r="O19" i="26"/>
  <c r="N19" i="26"/>
  <c r="N46" i="26" s="1"/>
  <c r="M19" i="26"/>
  <c r="M46" i="26" s="1"/>
  <c r="P17" i="26"/>
  <c r="O17" i="26"/>
  <c r="O44" i="26" s="1"/>
  <c r="N17" i="26"/>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J53" i="26" s="1"/>
  <c r="I52" i="26"/>
  <c r="H52" i="26"/>
  <c r="G52" i="26"/>
  <c r="F52" i="26"/>
  <c r="I50" i="26"/>
  <c r="H50" i="26"/>
  <c r="G50" i="26"/>
  <c r="J50" i="26" s="1"/>
  <c r="F50" i="26"/>
  <c r="L50" i="26" s="1"/>
  <c r="I49" i="26"/>
  <c r="H49" i="26"/>
  <c r="G49" i="26"/>
  <c r="F49" i="26"/>
  <c r="L49" i="26" s="1"/>
  <c r="V47" i="26"/>
  <c r="V58" i="26" s="1"/>
  <c r="H47" i="26"/>
  <c r="G47" i="26"/>
  <c r="O46" i="26"/>
  <c r="I46" i="26"/>
  <c r="H46" i="26"/>
  <c r="G46" i="26"/>
  <c r="F46" i="26"/>
  <c r="L46" i="26" s="1"/>
  <c r="P44" i="26"/>
  <c r="N44" i="26"/>
  <c r="I44" i="26"/>
  <c r="H44" i="26"/>
  <c r="G44" i="26"/>
  <c r="F44" i="26"/>
  <c r="L44" i="26" s="1"/>
  <c r="I43" i="26"/>
  <c r="H43" i="26"/>
  <c r="G43" i="26"/>
  <c r="F43" i="26"/>
  <c r="I41" i="26"/>
  <c r="H41" i="26"/>
  <c r="G41" i="26"/>
  <c r="F41" i="26"/>
  <c r="L41" i="26" s="1"/>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N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L53" i="26" l="1"/>
  <c r="K53" i="26"/>
  <c r="Q17" i="26"/>
  <c r="J49" i="26"/>
  <c r="K49" i="26"/>
  <c r="Q20" i="26"/>
  <c r="J30" i="26"/>
  <c r="H57" i="26"/>
  <c r="R17" i="26"/>
  <c r="N47" i="26"/>
  <c r="H58" i="26"/>
  <c r="R14" i="26"/>
  <c r="L40" i="26"/>
  <c r="L55" i="26"/>
  <c r="R20" i="26"/>
  <c r="R26" i="26"/>
  <c r="K40" i="26"/>
  <c r="I58" i="26"/>
  <c r="K46" i="26"/>
  <c r="K50" i="26"/>
  <c r="L30" i="26"/>
  <c r="I57" i="26"/>
  <c r="J41" i="26"/>
  <c r="J40" i="26"/>
  <c r="J46" i="26"/>
  <c r="F57" i="26"/>
  <c r="S44" i="26"/>
  <c r="J55" i="26"/>
  <c r="L52" i="26"/>
  <c r="K55" i="26"/>
  <c r="Q16" i="26"/>
  <c r="K30" i="26"/>
  <c r="R16" i="26"/>
  <c r="Q22" i="26"/>
  <c r="R25" i="26"/>
  <c r="S25" i="26"/>
  <c r="R28" i="26"/>
  <c r="M30" i="26"/>
  <c r="R30" i="26" s="1"/>
  <c r="R22" i="26"/>
  <c r="M55" i="26"/>
  <c r="S55" i="26" s="1"/>
  <c r="S56" i="26"/>
  <c r="R56" i="26"/>
  <c r="Q56" i="26"/>
  <c r="P57" i="26"/>
  <c r="O57" i="26"/>
  <c r="L56" i="26"/>
  <c r="K56" i="26"/>
  <c r="J56" i="26"/>
  <c r="S43" i="26"/>
  <c r="R43" i="26"/>
  <c r="Q43" i="26"/>
  <c r="S52" i="26"/>
  <c r="R52" i="26"/>
  <c r="Q52" i="26"/>
  <c r="S49" i="26"/>
  <c r="Q40" i="26"/>
  <c r="S40" i="26"/>
  <c r="R40" i="26"/>
  <c r="Q46" i="26"/>
  <c r="S46" i="26"/>
  <c r="R46" i="26"/>
  <c r="S20" i="26"/>
  <c r="S50" i="26"/>
  <c r="R50" i="26"/>
  <c r="Q50" i="26"/>
  <c r="N57" i="26"/>
  <c r="O58" i="26"/>
  <c r="G58" i="26"/>
  <c r="Q13" i="26"/>
  <c r="S17" i="26"/>
  <c r="Q19" i="26"/>
  <c r="S22" i="26"/>
  <c r="Q23" i="26"/>
  <c r="S28" i="26"/>
  <c r="N30" i="26"/>
  <c r="M31" i="26"/>
  <c r="M41" i="26"/>
  <c r="Q44" i="26"/>
  <c r="M47" i="26"/>
  <c r="J52" i="26"/>
  <c r="R13" i="26"/>
  <c r="R19" i="26"/>
  <c r="R23" i="26"/>
  <c r="F31" i="26"/>
  <c r="N31" i="26"/>
  <c r="N41" i="26"/>
  <c r="N58" i="26" s="1"/>
  <c r="J44" i="26"/>
  <c r="R44" i="26"/>
  <c r="F47" i="26"/>
  <c r="K52" i="26"/>
  <c r="M53" i="26"/>
  <c r="S13" i="26"/>
  <c r="S19" i="26"/>
  <c r="S23" i="26"/>
  <c r="Q25" i="26"/>
  <c r="P30" i="26"/>
  <c r="O31" i="26"/>
  <c r="K44" i="26"/>
  <c r="P47" i="26"/>
  <c r="P58" i="26" s="1"/>
  <c r="Q29" i="26"/>
  <c r="P31" i="26"/>
  <c r="J43" i="26"/>
  <c r="Q49" i="26"/>
  <c r="R29" i="26"/>
  <c r="I31" i="26"/>
  <c r="K43" i="26"/>
  <c r="R49" i="26"/>
  <c r="S29" i="26"/>
  <c r="L43" i="26"/>
  <c r="S16" i="26"/>
  <c r="L29" i="26"/>
  <c r="K41" i="26"/>
  <c r="F36" i="22"/>
  <c r="I29" i="22"/>
  <c r="F29" i="22"/>
  <c r="K29" i="22" s="1"/>
  <c r="F20" i="22"/>
  <c r="F47" i="22" s="1"/>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R55" i="26" l="1"/>
  <c r="Q30" i="26"/>
  <c r="L57" i="26"/>
  <c r="J57" i="26"/>
  <c r="K57" i="26"/>
  <c r="Q55" i="26"/>
  <c r="S30" i="26"/>
  <c r="M57" i="26"/>
  <c r="S57" i="26" s="1"/>
  <c r="K47" i="26"/>
  <c r="J47" i="26"/>
  <c r="L47" i="26"/>
  <c r="S47" i="26"/>
  <c r="R47" i="26"/>
  <c r="Q47" i="26"/>
  <c r="S41" i="26"/>
  <c r="M58" i="26"/>
  <c r="R41" i="26"/>
  <c r="Q41" i="26"/>
  <c r="S31" i="26"/>
  <c r="R31" i="26"/>
  <c r="Q3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Q57" i="26" l="1"/>
  <c r="R57" i="26"/>
  <c r="L58" i="26"/>
  <c r="K58" i="26"/>
  <c r="J58" i="26"/>
  <c r="S58" i="26"/>
  <c r="R58" i="26"/>
  <c r="Q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J52" i="21" l="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F26" i="20"/>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S17" i="20"/>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M13" i="21" l="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S19" i="19" l="1"/>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M16" i="22" l="1"/>
  <c r="S16" i="21"/>
  <c r="M43" i="21"/>
  <c r="R16" i="21"/>
  <c r="Q16" i="21"/>
  <c r="M19" i="22"/>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30" i="21" l="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S56" i="21" l="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R57" i="21" l="1"/>
  <c r="Q57" i="21"/>
  <c r="S57" i="21"/>
  <c r="R31" i="22"/>
  <c r="Q31" i="22"/>
  <c r="S31" i="22"/>
  <c r="S52" i="22"/>
  <c r="Q52" i="22"/>
  <c r="R52" i="22"/>
  <c r="S58" i="21"/>
  <c r="Q58" i="21"/>
  <c r="R58" i="21"/>
  <c r="Q56" i="22"/>
  <c r="S56" i="22"/>
  <c r="R56" i="22"/>
  <c r="M58" i="22"/>
  <c r="M57" i="22"/>
  <c r="J28" i="10"/>
  <c r="O28" i="10"/>
  <c r="N28" i="10"/>
  <c r="Q58" i="22" l="1"/>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<sst xmlns="http://schemas.openxmlformats.org/spreadsheetml/2006/main" count="577" uniqueCount="91">
  <si>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</si>
  <si>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</si>
  <si>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</si>
  <si>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</si>
  <si>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</si>
  <si>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</si>
  <si>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</si>
  <si>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</si>
  <si>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</si>
  <si>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</si>
  <si>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</si>
  <si>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</si>
  <si>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</si>
  <si>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</si>
  <si>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</si>
  <si>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</si>
  <si>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</si>
  <si>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</si>
  <si>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</si>
  <si>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</si>
  <si>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</si>
  <si>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</si>
  <si>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</si>
  <si>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</si>
  <si>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</si>
  <si>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</si>
  <si>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</si>
  <si>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</si>
  <si>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</si>
  <si>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</si>
  <si>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</si>
  <si>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</si>
  <si>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</si>
  <si>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</si>
  <si>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</si>
  <si>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</si>
  <si>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</si>
  <si>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</si>
  <si>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</si>
  <si>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</si>
  <si>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</si>
  <si>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</si>
  <si>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</si>
  <si>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</si>
  <si>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</si>
  <si>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</si>
  <si>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</si>
  <si>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</si>
  <si>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</si>
  <si>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</si>
  <si>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</si>
  <si>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</si>
  <si>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</si>
  <si>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</si>
  <si>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</si>
  <si>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</si>
  <si>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</si>
  <si>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</si>
  <si>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</si>
  <si>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</si>
  <si>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</si>
  <si>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</si>
  <si>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</si>
  <si>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</si>
  <si>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</si>
  <si>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</si>
  <si>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</si>
  <si>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</si>
  <si>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</si>
  <si>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</si>
  <si>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</si>
  <si>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</si>
  <si>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</si>
  <si>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</si>
  <si>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</si>
  <si>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</si>
  <si>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</si>
  <si>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</si>
  <si>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</si>
  <si>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</si>
  <si>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</si>
  <si>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</si>
  <si>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</si>
  <si>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Occupancy Ratios - 2022</t>
  </si>
  <si>
    <t>Volume-weighted Consolidated Cruise Occupancy Ratio</t>
  </si>
  <si>
    <t>See following sheets</t>
  </si>
  <si>
    <t>Note: Occupancy ratios will lag one month due to availability of data</t>
  </si>
  <si>
    <t>Monthly Cruise Occupany Ratio GPH for 2022</t>
  </si>
  <si>
    <t>September 2022</t>
  </si>
  <si>
    <t>January to September (YTD)</t>
  </si>
  <si>
    <t>April to September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</si>
</sst>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0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29" fillId="5" borderId="7" xfId="3" applyFont="1" applyBorder="1"/>
    <xf numFmtId="0" fontId="31" fillId="0" borderId="0" xfId="0" applyFont="1"/>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0" fillId="0" borderId="0" xfId="0" applyAlignment="1">
      <alignment horizontal="right"/>
    </xf>
    <xf numFmtId="0" fontId="0" fillId="0" borderId="6" xfId="0" applyBorder="1"/>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9">
    <cellStyle name="Comma" xfId="7" builtinId="3"/>
    <cellStyle name="Header1" xfId="4" xr:uid="{00000000-0005-0000-0000-000001000000}"/>
    <cellStyle name="Line_ClosingBal" xfId="6" xr:uid="{00000000-0005-0000-0000-000002000000}"/>
    <cellStyle name="Normal" xfId="0" builtinId="0"/>
    <cellStyle name="Normal 2" xfId="2" xr:uid="{00000000-0005-0000-0000-000004000000}"/>
    <cellStyle name="Percent" xfId="8" builtinId="5"/>
    <cellStyle name="Sheet_Header" xfId="1" xr:uid="{00000000-0005-0000-0000-000006000000}"/>
    <cellStyle name="Sheet_Header2" xfId="3" xr:uid="{00000000-0005-0000-0000-000007000000}"/>
    <cellStyle name="Unit" xfId="5" xr:uid="{00000000-0005-0000-0000-000008000000}"/>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Port of Adria.</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44813</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47</v>
      </c>
      <c r="G6" s="102"/>
      <c r="H6" s="102"/>
      <c r="I6" s="102"/>
      <c r="J6" s="102"/>
      <c r="K6" s="102"/>
      <c r="L6" s="103"/>
      <c r="M6" s="104" t="s">
        <v>49</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ht="14.4">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ht="14.4">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ht="14.4">
      <c r="A17" s="10"/>
      <c r="B17" s="13"/>
      <c r="C17" s="34"/>
      <c r="D17" s="27" t="s">
        <v>11</v>
      </c>
      <c r="E17" s="33"/>
      <c r="F17" s="69">
        <v>59882</v>
      </c>
      <c r="G17" s="69">
        <v>0</v>
      </c>
      <c r="H17" s="69">
        <v>0</v>
      </c>
      <c r="I17" s="69">
        <v>23341</v>
      </c>
      <c r="J17" s="65" t="str">
        <f t="shared" si="0"/>
        <v>n/a</v>
      </c>
      <c r="K17" s="65" t="str">
        <f t="shared" si="8"/>
        <v>n/a</v>
      </c>
      <c r="L17" s="61">
        <f t="shared" ref="L17:L28" si="12">IFERROR(F17/I17-1,"n/a")</f>
        <v>1.5655284692172571</v>
      </c>
      <c r="M17" s="69">
        <f>F17+'Apr-22'!M17</f>
        <v>82178</v>
      </c>
      <c r="N17" s="69">
        <f>G17+'Apr-22'!N17</f>
        <v>0</v>
      </c>
      <c r="O17" s="69">
        <f>H17+'Apr-22'!O17</f>
        <v>1642</v>
      </c>
      <c r="P17" s="69">
        <f>I17+'Apr-22'!P17</f>
        <v>42732</v>
      </c>
      <c r="Q17" s="65" t="str">
        <f t="shared" si="9"/>
        <v>n/a</v>
      </c>
      <c r="R17" s="65">
        <f t="shared" si="10"/>
        <v>49.047503045066989</v>
      </c>
      <c r="S17" s="61">
        <f t="shared" si="11"/>
        <v>0.92310212487129073</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ht="14.4">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ht="14.4">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124</v>
      </c>
      <c r="U25" s="71">
        <v>37</v>
      </c>
      <c r="V25" s="71">
        <f>282+81</f>
        <v>363</v>
      </c>
    </row>
    <row r="26" spans="1:38" ht="14.4">
      <c r="A26" s="10"/>
      <c r="B26" s="13"/>
      <c r="C26" s="34"/>
      <c r="D26" s="27" t="s">
        <v>11</v>
      </c>
      <c r="E26" s="33"/>
      <c r="F26" s="69">
        <v>67145</v>
      </c>
      <c r="G26" s="69">
        <v>12905</v>
      </c>
      <c r="H26" s="69">
        <v>0</v>
      </c>
      <c r="I26" s="69">
        <v>112132</v>
      </c>
      <c r="J26" s="65">
        <f t="shared" si="0"/>
        <v>4.2030220844633863</v>
      </c>
      <c r="K26" s="65" t="str">
        <f t="shared" si="21"/>
        <v>n/a</v>
      </c>
      <c r="L26" s="61">
        <f t="shared" si="12"/>
        <v>-0.40119680376698885</v>
      </c>
      <c r="M26" s="69">
        <f>F26+'Apr-22'!M26</f>
        <v>122402</v>
      </c>
      <c r="N26" s="69">
        <f>G26+'Apr-22'!N26</f>
        <v>15044</v>
      </c>
      <c r="O26" s="69">
        <f>H26+'Apr-22'!O26</f>
        <v>892</v>
      </c>
      <c r="P26" s="69">
        <f>I26+'Apr-22'!P26</f>
        <v>194615</v>
      </c>
      <c r="Q26" s="65">
        <f t="shared" si="22"/>
        <v>7.1362669502791807</v>
      </c>
      <c r="R26" s="65">
        <f t="shared" si="23"/>
        <v>136.22197309417041</v>
      </c>
      <c r="S26" s="61">
        <f t="shared" si="24"/>
        <v>-0.37105567402307116</v>
      </c>
      <c r="T26" s="69">
        <v>165083</v>
      </c>
      <c r="U26" s="71">
        <f>20768+8294</f>
        <v>29062</v>
      </c>
      <c r="V26" s="71">
        <f>659951+168729+38484</f>
        <v>867164</v>
      </c>
    </row>
    <row r="27" spans="1:38"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578898</v>
      </c>
      <c r="G28" s="48">
        <f t="shared" si="25"/>
        <v>24481</v>
      </c>
      <c r="H28" s="48">
        <f t="shared" si="25"/>
        <v>0</v>
      </c>
      <c r="I28" s="48">
        <f t="shared" si="25"/>
        <v>841049</v>
      </c>
      <c r="J28" s="68">
        <f t="shared" si="0"/>
        <v>22.646828152444755</v>
      </c>
      <c r="K28" s="68" t="str">
        <f t="shared" si="21"/>
        <v>n/a</v>
      </c>
      <c r="L28" s="64">
        <f t="shared" si="12"/>
        <v>-0.31169527578060252</v>
      </c>
      <c r="M28" s="48">
        <f t="shared" si="26"/>
        <v>1954381</v>
      </c>
      <c r="N28" s="48">
        <f t="shared" si="26"/>
        <v>40586</v>
      </c>
      <c r="O28" s="48">
        <f t="shared" si="26"/>
        <v>1276191</v>
      </c>
      <c r="P28" s="48">
        <f t="shared" si="26"/>
        <v>3422813</v>
      </c>
      <c r="Q28" s="68">
        <f t="shared" si="22"/>
        <v>47.154067905188981</v>
      </c>
      <c r="R28" s="68">
        <f t="shared" si="23"/>
        <v>0.53141731919438384</v>
      </c>
      <c r="S28" s="64">
        <f t="shared" si="24"/>
        <v>-0.42901321223216105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45</v>
      </c>
      <c r="G6" s="102"/>
      <c r="H6" s="102"/>
      <c r="I6" s="102"/>
      <c r="J6" s="102"/>
      <c r="K6" s="102"/>
      <c r="L6" s="103"/>
      <c r="M6" s="104" t="s">
        <v>46</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ht="14.4">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ht="14.4">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ht="14.4">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ht="14.4">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ht="14.4">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124</v>
      </c>
      <c r="U25" s="71">
        <v>37</v>
      </c>
      <c r="V25" s="71">
        <f>282+81</f>
        <v>363</v>
      </c>
    </row>
    <row r="26" spans="1:38" ht="14.4">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41</v>
      </c>
      <c r="G6" s="102"/>
      <c r="H6" s="102"/>
      <c r="I6" s="102"/>
      <c r="J6" s="102"/>
      <c r="K6" s="102"/>
      <c r="L6" s="103"/>
      <c r="M6" s="104" t="s">
        <v>43</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ht="14.4">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ht="14.4">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ht="14.4">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ht="14.4">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ht="14.4">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ht="14.4">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39</v>
      </c>
      <c r="G6" s="102"/>
      <c r="H6" s="102"/>
      <c r="I6" s="102"/>
      <c r="J6" s="102"/>
      <c r="K6" s="102"/>
      <c r="L6" s="103"/>
      <c r="M6" s="104" t="s">
        <v>38</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ht="14.4">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ht="14.4">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ht="14.4">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ht="14.4">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ht="14.4">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ht="14.4">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37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33</v>
      </c>
      <c r="G6" s="102"/>
      <c r="H6" s="102"/>
      <c r="I6" s="102"/>
      <c r="J6" s="102"/>
      <c r="K6" s="102"/>
      <c r="L6" s="103"/>
      <c r="M6" s="104" t="s">
        <v>33</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ht="14.4">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ht="14.4">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ht="14.4">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ht="14.4">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ht="14.4">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ht="14.4">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5.6"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30</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31</v>
      </c>
      <c r="G6" s="106"/>
      <c r="H6" s="106"/>
      <c r="I6" s="107"/>
      <c r="J6" s="108"/>
      <c r="K6" s="104" t="s">
        <v>32</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ht="14.4">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ht="14.4">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ht="14.4">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ht="14.4">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ht="14.4">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0</v>
      </c>
      <c r="G25" s="69">
        <f>L25-'Nov-21'!L25</f>
        <v>5</v>
      </c>
      <c r="H25" s="69">
        <f>M25-'Nov-21'!M25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ht="14.4">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1059</v>
      </c>
      <c r="L27" s="47">
        <f t="shared" si="2"/>
        <v>667</v>
      </c>
      <c r="M27" s="47">
        <f>M10+M13+M16+M19+M22+M25</f>
        <v>3344</v>
      </c>
      <c r="N27" s="67">
        <f>K27/L27-1</f>
        <v>0.58770614692653678</v>
      </c>
      <c r="O27" s="63">
        <f>K27/M27-1</f>
        <v>-0.68331339712918659</v>
      </c>
      <c r="P27" s="47">
        <f>P10+P13+P16+P19+P22+P25</f>
        <v>667</v>
      </c>
      <c r="Q27" s="47">
        <f>Q10+Q13+Q16+Q19+Q22+Q25</f>
        <v>3344</v>
      </c>
    </row>
    <row r="28" spans="1:33" s="23" customFormat="1" ht="15.6"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6:8" s="10" customFormat="1" ht="14.4" hidden="1">
      <c r="F33" s="42"/>
      <c r="G33" s="42"/>
      <c r="H33" s="42"/>
    </row>
    <row r="34" spans="6:8" s="10" customFormat="1" ht="14.4" hidden="1">
      <c r="F34" s="42"/>
      <c r="G34" s="42"/>
      <c r="H34" s="42"/>
    </row>
    <row r="35" spans="6:8" s="10" customFormat="1" ht="14.4" hidden="1">
      <c r="F35" s="42"/>
      <c r="G35" s="42"/>
      <c r="H35" s="42"/>
    </row>
    <row r="36" spans="6:8" s="10" customFormat="1" ht="14.4" hidden="1">
      <c r="F36" s="42"/>
      <c r="G36" s="42"/>
      <c r="H36" s="42"/>
    </row>
    <row r="37" spans="6:8" s="10" customFormat="1" ht="14.4" hidden="1">
      <c r="F37" s="42"/>
      <c r="G37" s="42"/>
      <c r="H37" s="42"/>
    </row>
    <row r="38" spans="6:8" s="10" customFormat="1" ht="14.4" hidden="1">
      <c r="F38" s="42"/>
      <c r="G38" s="42"/>
      <c r="H38" s="42"/>
    </row>
    <row r="39" spans="6:8" s="10" customFormat="1" ht="14.4" hidden="1">
      <c r="F39" s="42"/>
      <c r="G39" s="42"/>
      <c r="H39" s="42"/>
    </row>
    <row r="40" spans="6:8" s="10" customFormat="1" ht="14.4" hidden="1">
      <c r="F40" s="42"/>
      <c r="G40" s="42"/>
      <c r="H40" s="42"/>
    </row>
    <row r="41" spans="6:8" s="10" customFormat="1" ht="14.4" hidden="1">
      <c r="F41" s="42"/>
      <c r="G41" s="42"/>
      <c r="H41" s="42"/>
    </row>
    <row r="42" spans="6:8" s="10" customFormat="1" ht="14.4" hidden="1">
      <c r="F42" s="42"/>
      <c r="G42" s="42"/>
      <c r="H42" s="42"/>
    </row>
    <row r="43" spans="6:8" s="10" customFormat="1" ht="14.4" hidden="1">
      <c r="F43" s="42"/>
      <c r="G43" s="42"/>
      <c r="H43" s="42"/>
    </row>
    <row r="44" spans="6:8" s="10" customFormat="1" ht="14.4" hidden="1">
      <c r="F44" s="42"/>
      <c r="G44" s="42"/>
      <c r="H44" s="42"/>
    </row>
    <row r="45" spans="6:8" s="10" customFormat="1" ht="14.4" hidden="1">
      <c r="F45" s="42"/>
      <c r="G45" s="42"/>
      <c r="H45" s="42"/>
    </row>
    <row r="46" spans="6:8" s="10" customFormat="1" ht="14.4" hidden="1">
      <c r="F46" s="42"/>
      <c r="G46" s="42"/>
      <c r="H46" s="42"/>
    </row>
    <row r="47" spans="6:8" s="10" customFormat="1" ht="14.4" hidden="1">
      <c r="F47" s="42"/>
      <c r="G47" s="42"/>
      <c r="H47" s="42"/>
    </row>
    <row r="48" spans="6:8" s="10"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26</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27</v>
      </c>
      <c r="G6" s="106"/>
      <c r="H6" s="106"/>
      <c r="I6" s="107"/>
      <c r="J6" s="108"/>
      <c r="K6" s="104" t="s">
        <v>28</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ht="14.4">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ht="14.4">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ht="14.4">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ht="14.4">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ht="14.4">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ht="14.4">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5.6"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25</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24</v>
      </c>
      <c r="G6" s="106"/>
      <c r="H6" s="106"/>
      <c r="I6" s="107"/>
      <c r="J6" s="108"/>
      <c r="K6" s="104" t="s">
        <v>8</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ht="14.4">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ht="14.4">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ht="14.4">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ht="14.4">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ht="14.4">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ht="14.4">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5.6"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21</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22</v>
      </c>
      <c r="G6" s="106"/>
      <c r="H6" s="106"/>
      <c r="I6" s="107"/>
      <c r="J6" s="108"/>
      <c r="K6" s="104" t="s">
        <v>23</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ht="14.4">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ht="14.4">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ht="14.4">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ht="14.4">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ht="14.4">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ht="14.4">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5.6"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6.2">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8">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6.2">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8">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7523-3128-438B-A8AD-2C43A61C26B4}">
  <sheetPr>
    <tabColor theme="6" tint="-0.499984740745262"/>
    <pageSetUpPr fitToPage="1"/>
  </sheetPr>
  <dimension ref="A1:AT56"/>
  <sheetViews>
    <sheetView showGridLines="0" zoomScale="90" zoomScaleNormal="90" zoomScalePageLayoutView="40" workbookViewId="0"/>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10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94"/>
      <c r="G1" s="94"/>
      <c r="H1" s="94"/>
      <c r="I1" s="94"/>
      <c r="J1" s="94"/>
      <c r="K1" s="94"/>
      <c r="L1" s="94"/>
      <c r="M1" s="94"/>
      <c r="N1" s="94"/>
      <c r="O1" s="94"/>
      <c r="P1" s="94"/>
      <c r="Q1" s="94"/>
      <c r="R1" s="10"/>
      <c r="S1" s="10"/>
    </row>
    <row r="2" spans="1:35" ht="18.600000000000001" thickBot="1">
      <c r="A2" s="10"/>
      <c r="B2" s="9" t="s">
        <v>87</v>
      </c>
      <c r="C2" s="24"/>
      <c r="D2" s="24"/>
      <c r="E2" s="24"/>
      <c r="F2" s="95"/>
      <c r="G2" s="95"/>
      <c r="H2" s="95"/>
      <c r="I2" s="95"/>
      <c r="J2" s="95"/>
      <c r="K2" s="95"/>
      <c r="L2" s="95"/>
      <c r="M2" s="95"/>
      <c r="N2" s="95"/>
      <c r="O2" s="95"/>
      <c r="P2" s="95"/>
      <c r="Q2" s="95"/>
      <c r="R2" s="24"/>
      <c r="S2" s="24"/>
    </row>
    <row r="3" spans="1:35" ht="14.4">
      <c r="A3" s="10"/>
      <c r="B3" s="11"/>
      <c r="C3" s="25"/>
      <c r="D3" s="25"/>
      <c r="E3" s="25"/>
      <c r="F3" s="96"/>
      <c r="G3" s="96"/>
      <c r="H3" s="96"/>
      <c r="I3" s="96"/>
      <c r="J3" s="96"/>
      <c r="K3" s="96"/>
      <c r="L3" s="96"/>
      <c r="M3" s="96"/>
      <c r="N3" s="96"/>
      <c r="O3" s="96"/>
      <c r="P3" s="96"/>
      <c r="Q3" s="96"/>
      <c r="R3" s="25"/>
      <c r="S3" s="26">
        <f>+' '!I17</f>
        <v>44813</v>
      </c>
    </row>
    <row r="4" spans="1:35" ht="16.2">
      <c r="A4" s="10"/>
      <c r="B4" s="12" t="s">
        <v>7</v>
      </c>
      <c r="C4" s="27"/>
      <c r="D4" s="25"/>
      <c r="E4" s="59" t="s">
        <v>72</v>
      </c>
      <c r="F4" s="96"/>
      <c r="G4" s="96"/>
      <c r="H4" s="96"/>
      <c r="I4" s="96"/>
      <c r="J4" s="96"/>
      <c r="K4" s="96"/>
      <c r="L4" s="96"/>
      <c r="M4" s="96"/>
      <c r="N4" s="96"/>
      <c r="O4" s="96"/>
      <c r="P4" s="96"/>
      <c r="Q4" s="96"/>
      <c r="R4" s="25"/>
      <c r="S4" s="25"/>
    </row>
    <row r="5" spans="1:35" ht="14.4">
      <c r="A5" s="10"/>
      <c r="B5" s="11"/>
      <c r="C5" s="25"/>
      <c r="D5" s="25"/>
      <c r="E5" s="25"/>
      <c r="F5" s="96"/>
      <c r="G5" s="96"/>
      <c r="H5" s="96"/>
      <c r="I5" s="96"/>
      <c r="J5" s="96"/>
      <c r="K5" s="96"/>
      <c r="L5" s="96"/>
      <c r="M5" s="96"/>
      <c r="N5" s="96"/>
      <c r="O5" s="96"/>
      <c r="P5" s="96"/>
      <c r="Q5" s="96"/>
      <c r="R5" s="25"/>
      <c r="S5" s="25"/>
    </row>
    <row r="6" spans="1:35" ht="14.4">
      <c r="A6" s="10"/>
      <c r="B6" s="87" t="s">
        <v>83</v>
      </c>
      <c r="D6" s="25"/>
      <c r="E6" s="25"/>
      <c r="F6" s="96"/>
      <c r="G6" s="96"/>
      <c r="H6" s="96"/>
      <c r="I6" s="96"/>
      <c r="J6" s="96"/>
      <c r="K6" s="96"/>
      <c r="L6" s="96"/>
      <c r="M6" s="96"/>
      <c r="N6" s="96"/>
      <c r="O6" s="96"/>
      <c r="P6" s="96"/>
      <c r="Q6" s="96"/>
      <c r="R6" s="25"/>
      <c r="S6" s="25"/>
    </row>
    <row r="7" spans="1:35" ht="14.4">
      <c r="A7" s="10"/>
      <c r="B7" s="11"/>
      <c r="C7" s="25"/>
      <c r="D7" s="25"/>
      <c r="E7" s="25"/>
      <c r="F7" s="96"/>
      <c r="G7" s="96"/>
      <c r="H7" s="96"/>
      <c r="I7" s="96"/>
      <c r="J7" s="96"/>
      <c r="K7" s="96"/>
      <c r="L7" s="96"/>
      <c r="M7" s="96"/>
      <c r="N7" s="96"/>
      <c r="O7" s="96"/>
      <c r="P7" s="96"/>
      <c r="Q7" s="96"/>
      <c r="R7" s="25"/>
      <c r="S7" s="25"/>
    </row>
    <row r="8" spans="1:35" s="21" customFormat="1" ht="14.4">
      <c r="A8" s="10"/>
      <c r="B8"/>
      <c r="C8" s="28" t="s">
        <v>7</v>
      </c>
      <c r="D8" s="29"/>
      <c r="E8" s="29"/>
      <c r="F8" s="97" t="s">
        <v>75</v>
      </c>
      <c r="G8" s="97" t="s">
        <v>76</v>
      </c>
      <c r="H8" s="97" t="s">
        <v>77</v>
      </c>
      <c r="I8" s="97" t="s">
        <v>45</v>
      </c>
      <c r="J8" s="97" t="s">
        <v>47</v>
      </c>
      <c r="K8" s="97" t="s">
        <v>51</v>
      </c>
      <c r="L8" s="97" t="s">
        <v>55</v>
      </c>
      <c r="M8" s="97" t="s">
        <v>78</v>
      </c>
      <c r="N8" s="97" t="s">
        <v>79</v>
      </c>
      <c r="O8" s="97" t="s">
        <v>80</v>
      </c>
      <c r="P8" s="97" t="s">
        <v>81</v>
      </c>
      <c r="Q8" s="97" t="s">
        <v>82</v>
      </c>
      <c r="R8"/>
      <c r="S8"/>
      <c r="T8" s="10"/>
      <c r="U8" s="20"/>
      <c r="V8" s="20"/>
      <c r="W8" s="20"/>
      <c r="X8" s="20"/>
      <c r="Y8" s="20"/>
      <c r="Z8" s="20"/>
      <c r="AA8" s="20"/>
      <c r="AB8" s="20"/>
      <c r="AC8" s="20"/>
      <c r="AD8" s="20"/>
      <c r="AE8" s="20"/>
      <c r="AF8" s="20"/>
      <c r="AG8" s="20"/>
      <c r="AH8" s="20"/>
      <c r="AI8" s="20"/>
    </row>
    <row r="9" spans="1:35" ht="20.25" customHeight="1">
      <c r="A9" s="10"/>
      <c r="B9" s="19"/>
      <c r="C9" s="92" t="s">
        <v>84</v>
      </c>
      <c r="D9" s="31"/>
      <c r="E9" s="31"/>
      <c r="F9" s="98">
        <v>0.41823087434338119</v>
      </c>
      <c r="G9" s="99">
        <v>0.47083755198064259</v>
      </c>
      <c r="H9" s="99">
        <v>0.6233573525072601</v>
      </c>
      <c r="I9" s="99">
        <v>0.66777314044950997</v>
      </c>
      <c r="J9" s="99">
        <v>0.65681540466649779</v>
      </c>
      <c r="K9" s="99">
        <v>0.78080882831305709</v>
      </c>
      <c r="L9" s="99">
        <v>0.89027550740676809</v>
      </c>
      <c r="M9" s="99">
        <v>0.96622440101119256</v>
      </c>
      <c r="N9" s="99"/>
      <c r="O9" s="99"/>
      <c r="P9" s="99"/>
      <c r="Q9" s="99"/>
    </row>
    <row r="10" spans="1:35" ht="20.25" customHeight="1">
      <c r="A10" s="10"/>
      <c r="B10" s="10"/>
      <c r="C10" s="10"/>
      <c r="D10" s="10"/>
      <c r="E10" s="10"/>
      <c r="F10" s="94"/>
      <c r="G10" s="94"/>
      <c r="H10" s="94"/>
      <c r="I10" s="94"/>
      <c r="J10" s="94"/>
      <c r="K10" s="94"/>
      <c r="L10" s="94"/>
      <c r="M10" s="94"/>
      <c r="N10" s="94"/>
      <c r="O10" s="94"/>
      <c r="P10" s="94"/>
      <c r="Q10" s="94"/>
      <c r="R10" s="10"/>
    </row>
    <row r="11" spans="1:35" ht="26.7" customHeight="1">
      <c r="C11" s="93" t="s">
        <v>86</v>
      </c>
    </row>
    <row r="12" spans="1:35" ht="26.7" hidden="1" customHeight="1"/>
    <row r="13" spans="1:35" ht="26.4" hidden="1" customHeight="1"/>
    <row r="14" spans="1:35" ht="26.4" hidden="1" customHeight="1"/>
    <row r="15" spans="1:35" ht="26.7"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11.4" hidden="1" customHeight="1"/>
    <row r="38" ht="9" hidden="1" customHeight="1"/>
    <row r="39" ht="17.399999999999999" hidden="1" customHeight="1"/>
    <row r="40" ht="26.7"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7D82-2DBC-44A6-8BBA-D36845B79124}">
  <sheetPr>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8.600000000000001"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4E824-240A-4CFB-AAEF-D7760037A696}">
  <sheetPr>
    <pageSetUpPr fitToPage="1"/>
  </sheetPr>
  <dimension ref="A1:AT59"/>
  <sheetViews>
    <sheetView showGridLines="0" tabSelected="1" zoomScale="110" zoomScaleNormal="110" zoomScalePageLayoutView="40" workbookViewId="0">
      <selection activeCell="D6" sqref="D6"/>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44813</v>
      </c>
    </row>
    <row r="4" spans="1:38" ht="16.2">
      <c r="A4" s="10"/>
      <c r="B4" s="12" t="s">
        <v>7</v>
      </c>
      <c r="C4" s="27"/>
      <c r="D4" s="25"/>
      <c r="E4" s="59" t="s">
        <v>88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101" customFormat="1" ht="14.4">
      <c r="A9" s="10"/>
      <c r="B9"/>
      <c r="C9" s="28" t="s">
        <v>7</v>
      </c>
      <c r="D9" s="29"/>
      <c r="E9" s="29"/>
      <c r="F9" s="102" t="s">
        <v>22</v>
      </c>
      <c r="G9" s="102"/>
      <c r="H9" s="102"/>
      <c r="I9" s="102"/>
      <c r="J9" s="102"/>
      <c r="K9" s="102"/>
      <c r="L9" s="103"/>
      <c r="M9" s="104" t="s">
        <v>89</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4.4">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4.4">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358</v>
      </c>
      <c r="N19" s="69">
        <f>G19+'Aug-22'!N19</f>
        <v>2</v>
      </c>
      <c r="O19" s="69">
        <f>H19+'Aug-22'!O19</f>
        <v>4</v>
      </c>
      <c r="P19" s="69">
        <f>I19+'Aug-22'!P19</f>
        <v>151</v>
      </c>
      <c r="Q19" s="65">
        <f t="shared" ref="Q19:Q20" si="9">IFERROR(M19/N19-1,"n/a")</f>
        <v>178</v>
      </c>
      <c r="R19" s="65">
        <f t="shared" ref="R19:R20" si="10">IFERROR(M19/O19-1,"n/a")</f>
        <v>88.5</v>
      </c>
      <c r="S19" s="61">
        <f t="shared" ref="S19:S20" si="11">IFERROR(M19/P19-1,"n/a")</f>
        <v>1.370860927152318</v>
      </c>
      <c r="T19" s="69">
        <v>23</v>
      </c>
      <c r="U19" s="71">
        <v>4</v>
      </c>
      <c r="V19" s="79">
        <v>191</v>
      </c>
    </row>
    <row r="20" spans="1:38" ht="14.4">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422375</v>
      </c>
      <c r="N20" s="69">
        <f>G20+'Aug-22'!N20</f>
        <v>424</v>
      </c>
      <c r="O20" s="69">
        <f>H20+'Aug-22'!O20</f>
        <v>1753</v>
      </c>
      <c r="P20" s="69">
        <f>I20+'Aug-22'!P20</f>
        <v>203378</v>
      </c>
      <c r="Q20" s="65">
        <f t="shared" si="9"/>
        <v>995.16745283018872</v>
      </c>
      <c r="R20" s="65">
        <f t="shared" si="10"/>
        <v>239.94409583571021</v>
      </c>
      <c r="S20" s="61">
        <f t="shared" si="11"/>
        <v>1.0767978837435712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4.4">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4.4">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124</v>
      </c>
      <c r="U28" s="71">
        <v>37</v>
      </c>
      <c r="V28" s="79">
        <f>282+81</f>
        <v>363</v>
      </c>
    </row>
    <row r="29" spans="1:38" ht="14.4">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694395</v>
      </c>
      <c r="N29" s="69">
        <f>G29+'Aug-22'!N29</f>
        <v>117659</v>
      </c>
      <c r="O29" s="69">
        <f>H29+'Aug-22'!O29</f>
        <v>10720</v>
      </c>
      <c r="P29" s="69">
        <f>I29+'Aug-22'!P29</f>
        <v>700780</v>
      </c>
      <c r="Q29" s="65">
        <f t="shared" si="22"/>
        <v>4.9017584715151408</v>
      </c>
      <c r="R29" s="65">
        <f t="shared" si="23"/>
        <v>63.775652985074629</v>
      </c>
      <c r="S29" s="61">
        <f t="shared" si="24"/>
        <v>-9.111276006735336E-3</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2601</v>
      </c>
      <c r="N30" s="47">
        <f t="shared" si="26"/>
        <v>382</v>
      </c>
      <c r="O30" s="47">
        <f t="shared" si="26"/>
        <v>626</v>
      </c>
      <c r="P30" s="47">
        <f t="shared" si="26"/>
        <v>2346</v>
      </c>
      <c r="Q30" s="67">
        <f t="shared" si="22"/>
        <v>5.8089005235602098</v>
      </c>
      <c r="R30" s="67">
        <f t="shared" si="23"/>
        <v>3.1549520766773167</v>
      </c>
      <c r="S30" s="63">
        <f t="shared" si="24"/>
        <v>0.10869565217391308</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5217818</v>
      </c>
      <c r="N31" s="48">
        <f t="shared" si="26"/>
        <v>572992</v>
      </c>
      <c r="O31" s="48">
        <f t="shared" si="26"/>
        <v>1293209</v>
      </c>
      <c r="P31" s="48">
        <f t="shared" si="26"/>
        <v>6854606</v>
      </c>
      <c r="Q31" s="68">
        <f t="shared" si="22"/>
        <v>8.1062667541606164</v>
      </c>
      <c r="R31" s="68">
        <f t="shared" si="23"/>
        <v>3.0347832407600013</v>
      </c>
      <c r="S31" s="64">
        <f t="shared" si="24"/>
        <v>-0.2387865910892617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September</v>
      </c>
      <c r="G36" s="102"/>
      <c r="H36" s="102"/>
      <c r="I36" s="102"/>
      <c r="J36" s="102"/>
      <c r="K36" s="102"/>
      <c r="L36" s="103"/>
      <c r="M36" s="104" t="s">
        <v>90</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348</v>
      </c>
      <c r="N46" s="83">
        <f>+N19-'Mar-22'!N16</f>
        <v>2</v>
      </c>
      <c r="O46" s="83">
        <f>+O19-'Mar-22'!O16</f>
        <v>1</v>
      </c>
      <c r="P46" s="83">
        <f>+P19-'Mar-22'!P16</f>
        <v>145</v>
      </c>
      <c r="Q46" s="65">
        <f>IFERROR(M46/N46-1,"n/a")</f>
        <v>173</v>
      </c>
      <c r="R46" s="65">
        <f>IFERROR(M46/O46-1,"n/a")</f>
        <v>347</v>
      </c>
      <c r="S46" s="61">
        <f t="shared" ref="S46:S47" si="41">IFERROR(M46/P46-1,"n/a")</f>
        <v>1.4</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420903</v>
      </c>
      <c r="N47" s="83">
        <f>+N20-'Mar-22'!N17</f>
        <v>424</v>
      </c>
      <c r="O47" s="83">
        <f>+O20-'Mar-22'!O17</f>
        <v>111</v>
      </c>
      <c r="P47" s="83">
        <f>+P20-'Mar-22'!P17</f>
        <v>198240</v>
      </c>
      <c r="Q47" s="65">
        <f>IFERROR(M47/N47-1,"n/a")</f>
        <v>991.69575471698113</v>
      </c>
      <c r="R47" s="65">
        <f>IFERROR(M47/O47-1,"n/a")</f>
        <v>3790.9189189189187</v>
      </c>
      <c r="S47" s="61">
        <f t="shared" si="41"/>
        <v>1.123199152542373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5"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682795</v>
      </c>
      <c r="N56" s="83">
        <f>+N29-'Mar-22'!N26</f>
        <v>115520</v>
      </c>
      <c r="O56" s="83">
        <f>+O29-'Mar-22'!O26</f>
        <v>9828</v>
      </c>
      <c r="P56" s="83">
        <f>+P29-'Mar-22'!P26</f>
        <v>694671</v>
      </c>
      <c r="Q56" s="65">
        <f>IFERROR(M56/N56-1,"n/a")</f>
        <v>4.9106215373961222</v>
      </c>
      <c r="R56" s="65">
        <f>IFERROR(M56/O56-1,"n/a")</f>
        <v>68.474460724460727</v>
      </c>
      <c r="S56" s="61">
        <f t="shared" si="57"/>
        <v>-1.7095862645770454E-2</v>
      </c>
      <c r="T56" s="83">
        <v>174336</v>
      </c>
      <c r="U56" s="85">
        <v>21928</v>
      </c>
      <c r="V56" s="79">
        <f>706948+155011</f>
        <v>861959</v>
      </c>
    </row>
    <row r="57" spans="3:22" ht="26.7"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1969</v>
      </c>
      <c r="N57" s="47">
        <f t="shared" si="59"/>
        <v>370</v>
      </c>
      <c r="O57" s="47">
        <f t="shared" si="59"/>
        <v>61</v>
      </c>
      <c r="P57" s="47">
        <f t="shared" si="59"/>
        <v>1711</v>
      </c>
      <c r="Q57" s="67">
        <f>IFERROR(M57/N57-1,"n/a")</f>
        <v>4.3216216216216212</v>
      </c>
      <c r="R57" s="67">
        <f>IFERROR(M57/O57-1,"n/a")</f>
        <v>31.278688524590166</v>
      </c>
      <c r="S57" s="63">
        <f t="shared" si="57"/>
        <v>0.15078901227352426</v>
      </c>
      <c r="T57" s="47">
        <f t="shared" ref="T57:V58" si="60">T40+T43+T46+T49+T52+T55</f>
        <v>1682</v>
      </c>
      <c r="U57" s="47">
        <f t="shared" si="60"/>
        <v>679</v>
      </c>
      <c r="V57" s="81">
        <f t="shared" si="60"/>
        <v>3274</v>
      </c>
    </row>
    <row r="58" spans="3:22" ht="26.7"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4350113</v>
      </c>
      <c r="N58" s="48">
        <f t="shared" si="59"/>
        <v>562889</v>
      </c>
      <c r="O58" s="48">
        <f t="shared" si="59"/>
        <v>17018</v>
      </c>
      <c r="P58" s="48">
        <f t="shared" si="59"/>
        <v>5064080</v>
      </c>
      <c r="Q58" s="68">
        <f>IFERROR(M58/N58-1,"n/a")</f>
        <v>6.7281897496664529</v>
      </c>
      <c r="R58" s="68">
        <f>IFERROR(M58/O58-1,"n/a")</f>
        <v>254.61834528146667</v>
      </c>
      <c r="S58" s="64">
        <f t="shared" si="57"/>
        <v>-0.14098651680068242</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59"/>
  <sheetViews>
    <sheetView showGridLines="0" zoomScale="110" zoomScaleNormal="110" zoomScalePageLayoutView="40" workbookViewId="0">
      <selection activeCell="F12" sqref="F12"/>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44813</v>
      </c>
    </row>
    <row r="4" spans="1:38" ht="16.2">
      <c r="A4" s="10"/>
      <c r="B4" s="12" t="s">
        <v>7</v>
      </c>
      <c r="C4" s="27"/>
      <c r="D4" s="25"/>
      <c r="E4" s="59" t="s">
        <v>72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02" t="s">
        <v>69</v>
      </c>
      <c r="G9" s="102"/>
      <c r="H9" s="102"/>
      <c r="I9" s="102"/>
      <c r="J9" s="102"/>
      <c r="K9" s="102"/>
      <c r="L9" s="103"/>
      <c r="M9" s="104" t="s">
        <v>71</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4.4">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4.4">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67</v>
      </c>
      <c r="G19" s="72">
        <v>0</v>
      </c>
      <c r="H19" s="72">
        <v>0</v>
      </c>
      <c r="I19" s="75">
        <v>27</v>
      </c>
      <c r="J19" s="65" t="str">
        <f t="shared" si="0"/>
        <v>n/a</v>
      </c>
      <c r="K19" s="65" t="str">
        <f t="shared" ref="K19:K20" si="8">IFERROR(F19/H19-1,"n/a")</f>
        <v>n/a</v>
      </c>
      <c r="L19" s="61">
        <f>IFERROR(F19/I19-1,"n/a")</f>
        <v>1.4814814814814814</v>
      </c>
      <c r="M19" s="69">
        <f>F19+'Jul-22'!M19</f>
        <v>294</v>
      </c>
      <c r="N19" s="69">
        <f>G19+'Jul-22'!N19</f>
        <v>0</v>
      </c>
      <c r="O19" s="69">
        <f>H19+'Jul-22'!O19</f>
        <v>4</v>
      </c>
      <c r="P19" s="69">
        <f>I19+'Jul-22'!P19</f>
        <v>128</v>
      </c>
      <c r="Q19" s="65" t="str">
        <f t="shared" ref="Q19:Q20" si="9">IFERROR(M19/N19-1,"n/a")</f>
        <v>n/a</v>
      </c>
      <c r="R19" s="65">
        <f t="shared" ref="R19:R20" si="10">IFERROR(M19/O19-1,"n/a")</f>
        <v>72.5</v>
      </c>
      <c r="S19" s="61">
        <f t="shared" ref="S19:S20" si="11">IFERROR(M19/P19-1,"n/a")</f>
        <v>1.296875</v>
      </c>
      <c r="T19" s="69">
        <v>23</v>
      </c>
      <c r="U19" s="71">
        <v>4</v>
      </c>
      <c r="V19" s="79">
        <v>191</v>
      </c>
    </row>
    <row r="20" spans="1:38" ht="14.4">
      <c r="A20" s="10"/>
      <c r="B20" s="13"/>
      <c r="C20" s="34"/>
      <c r="D20" s="27" t="s">
        <v>11</v>
      </c>
      <c r="E20" s="33"/>
      <c r="F20" s="75">
        <f>83975+18476</f>
        <v>102451</v>
      </c>
      <c r="G20" s="72">
        <v>0</v>
      </c>
      <c r="H20" s="72">
        <v>0</v>
      </c>
      <c r="I20" s="75">
        <f>27978+22373</f>
        <v>50351</v>
      </c>
      <c r="J20" s="65" t="str">
        <f t="shared" si="0"/>
        <v>n/a</v>
      </c>
      <c r="K20" s="65" t="str">
        <f t="shared" si="8"/>
        <v>n/a</v>
      </c>
      <c r="L20" s="61">
        <f t="shared" ref="L20:L31" si="12">IFERROR(F20/I20-1,"n/a")</f>
        <v>1.0347361522114755</v>
      </c>
      <c r="M20" s="69">
        <f>F20+'Jul-22'!M20</f>
        <v>342129</v>
      </c>
      <c r="N20" s="69">
        <f>G20+'Jul-22'!N20</f>
        <v>0</v>
      </c>
      <c r="O20" s="69">
        <f>H20+'Jul-22'!O20</f>
        <v>1753</v>
      </c>
      <c r="P20" s="69">
        <f>I20+'Jul-22'!P20</f>
        <v>167542</v>
      </c>
      <c r="Q20" s="65" t="str">
        <f t="shared" si="9"/>
        <v>n/a</v>
      </c>
      <c r="R20" s="65">
        <f t="shared" si="10"/>
        <v>194.16771249286936</v>
      </c>
      <c r="S20" s="61">
        <f t="shared" si="11"/>
        <v>1.0420491578231128</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4.4">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4.4">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124</v>
      </c>
      <c r="U28" s="71">
        <v>37</v>
      </c>
      <c r="V28" s="79">
        <f>282+81</f>
        <v>363</v>
      </c>
    </row>
    <row r="29" spans="1:38" ht="14.4">
      <c r="A29" s="10"/>
      <c r="B29" s="13"/>
      <c r="C29" s="34"/>
      <c r="D29" s="27" t="s">
        <v>11</v>
      </c>
      <c r="E29" s="33"/>
      <c r="F29" s="75">
        <f>152952+25399+7611</f>
        <v>185962</v>
      </c>
      <c r="G29" s="75">
        <v>25181</v>
      </c>
      <c r="H29" s="72">
        <v>0</v>
      </c>
      <c r="I29" s="75">
        <f>100123+26729+22999</f>
        <v>149851</v>
      </c>
      <c r="J29" s="65">
        <f t="shared" si="0"/>
        <v>6.3850125094317143</v>
      </c>
      <c r="K29" s="65" t="str">
        <f t="shared" si="21"/>
        <v>n/a</v>
      </c>
      <c r="L29" s="61">
        <f t="shared" si="12"/>
        <v>0.24097937284369131</v>
      </c>
      <c r="M29" s="69">
        <f>F29+'Jul-22'!M29</f>
        <v>544281</v>
      </c>
      <c r="N29" s="69">
        <f>G29+'Jul-22'!N29</f>
        <v>81814</v>
      </c>
      <c r="O29" s="69">
        <f>H29+'Jul-22'!O29</f>
        <v>9186</v>
      </c>
      <c r="P29" s="69">
        <f>I29+'Jul-22'!P29</f>
        <v>592980</v>
      </c>
      <c r="Q29" s="65">
        <f t="shared" si="22"/>
        <v>5.652663358349427</v>
      </c>
      <c r="R29" s="65">
        <f t="shared" si="23"/>
        <v>58.251143043762248</v>
      </c>
      <c r="S29" s="61">
        <f t="shared" si="24"/>
        <v>-8.2125872710715364E-2</v>
      </c>
      <c r="T29" s="69">
        <v>165083</v>
      </c>
      <c r="U29" s="71">
        <f>20768+8294</f>
        <v>29062</v>
      </c>
      <c r="V29" s="79">
        <f>659951+168729+38484</f>
        <v>867164</v>
      </c>
    </row>
    <row r="30" spans="1:38" ht="15" customHeight="1" thickBot="1">
      <c r="A30" s="10"/>
      <c r="B30" s="13"/>
      <c r="C30" s="36" t="s">
        <v>12</v>
      </c>
      <c r="D30" s="37"/>
      <c r="E30" s="38"/>
      <c r="F30" s="76">
        <f t="shared" ref="F30:I31" si="25">F13+F16+F19+F22+F25+F28</f>
        <v>309</v>
      </c>
      <c r="G30" s="76">
        <f t="shared" si="25"/>
        <v>108</v>
      </c>
      <c r="H30" s="76">
        <f t="shared" si="25"/>
        <v>5</v>
      </c>
      <c r="I30" s="76">
        <f t="shared" si="25"/>
        <v>272</v>
      </c>
      <c r="J30" s="67">
        <f t="shared" si="0"/>
        <v>1.8611111111111112</v>
      </c>
      <c r="K30" s="67">
        <f t="shared" si="21"/>
        <v>60.8</v>
      </c>
      <c r="L30" s="63">
        <f t="shared" si="12"/>
        <v>0.13602941176470584</v>
      </c>
      <c r="M30" s="47">
        <f t="shared" ref="M30:P31" si="26">M13+M16+M19+M22+M25+M28</f>
        <v>2267</v>
      </c>
      <c r="N30" s="47">
        <f t="shared" si="26"/>
        <v>234</v>
      </c>
      <c r="O30" s="47">
        <f t="shared" si="26"/>
        <v>614</v>
      </c>
      <c r="P30" s="47">
        <f t="shared" si="26"/>
        <v>2077</v>
      </c>
      <c r="Q30" s="67">
        <f t="shared" si="22"/>
        <v>8.6880341880341874</v>
      </c>
      <c r="R30" s="67">
        <f t="shared" si="23"/>
        <v>2.6921824104234529</v>
      </c>
      <c r="S30" s="63">
        <f t="shared" si="24"/>
        <v>9.147809340394808E-2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890577</v>
      </c>
      <c r="G31" s="77">
        <f t="shared" si="25"/>
        <v>165560</v>
      </c>
      <c r="H31" s="77">
        <f t="shared" si="25"/>
        <v>2541</v>
      </c>
      <c r="I31" s="77">
        <f t="shared" si="25"/>
        <v>926112</v>
      </c>
      <c r="J31" s="68">
        <f t="shared" si="0"/>
        <v>4.3791797535636627</v>
      </c>
      <c r="K31" s="68">
        <f t="shared" si="21"/>
        <v>349.48288075560805</v>
      </c>
      <c r="L31" s="64">
        <f t="shared" si="12"/>
        <v>-3.8370089146885E-2</v>
      </c>
      <c r="M31" s="48">
        <f t="shared" si="26"/>
        <v>4379951</v>
      </c>
      <c r="N31" s="48">
        <f t="shared" si="26"/>
        <v>332144</v>
      </c>
      <c r="O31" s="48">
        <f t="shared" si="26"/>
        <v>1287137</v>
      </c>
      <c r="P31" s="48">
        <f t="shared" si="26"/>
        <v>6070338</v>
      </c>
      <c r="Q31" s="68">
        <f t="shared" si="22"/>
        <v>12.186903873018931</v>
      </c>
      <c r="R31" s="68">
        <f t="shared" si="23"/>
        <v>2.4028630984891275</v>
      </c>
      <c r="S31" s="64">
        <f t="shared" si="24"/>
        <v>-0.27846670152469266</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August</v>
      </c>
      <c r="G36" s="102"/>
      <c r="H36" s="102"/>
      <c r="I36" s="102"/>
      <c r="J36" s="102"/>
      <c r="K36" s="102"/>
      <c r="L36" s="103"/>
      <c r="M36" s="104" t="s">
        <v>70</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67</v>
      </c>
      <c r="G46" s="72">
        <f t="shared" si="38"/>
        <v>0</v>
      </c>
      <c r="H46" s="72">
        <f t="shared" si="38"/>
        <v>0</v>
      </c>
      <c r="I46" s="75">
        <f t="shared" si="38"/>
        <v>27</v>
      </c>
      <c r="J46" s="65" t="str">
        <f t="shared" ref="J46:J47" si="39">IFERROR(F46/G46-1,"n/a")</f>
        <v>n/a</v>
      </c>
      <c r="K46" s="65" t="str">
        <f t="shared" ref="K46:K47" si="40">IFERROR(F46/H46-1,"n/a")</f>
        <v>n/a</v>
      </c>
      <c r="L46" s="61">
        <f>IFERROR(F46/I46-1,"n/a")</f>
        <v>1.4814814814814814</v>
      </c>
      <c r="M46" s="71">
        <f>+M19-'Mar-22'!M16</f>
        <v>284</v>
      </c>
      <c r="N46" s="83">
        <f>+N19-'Mar-22'!N16</f>
        <v>0</v>
      </c>
      <c r="O46" s="83">
        <f>+O19-'Mar-22'!O16</f>
        <v>1</v>
      </c>
      <c r="P46" s="83">
        <f>+P19-'Mar-22'!P16</f>
        <v>122</v>
      </c>
      <c r="Q46" s="65" t="str">
        <f>IFERROR(M46/N46-1,"n/a")</f>
        <v>n/a</v>
      </c>
      <c r="R46" s="65">
        <f>IFERROR(M46/O46-1,"n/a")</f>
        <v>283</v>
      </c>
      <c r="S46" s="61">
        <f t="shared" ref="S46:S47" si="41">IFERROR(M46/P46-1,"n/a")</f>
        <v>1.3278688524590163</v>
      </c>
      <c r="T46" s="90">
        <v>33</v>
      </c>
      <c r="U46" s="71">
        <v>4</v>
      </c>
      <c r="V46" s="79">
        <v>188</v>
      </c>
    </row>
    <row r="47" spans="1:22" s="10" customFormat="1" ht="15" customHeight="1">
      <c r="C47" s="34"/>
      <c r="D47" s="27" t="s">
        <v>11</v>
      </c>
      <c r="E47" s="33"/>
      <c r="F47" s="75">
        <f t="shared" si="38"/>
        <v>102451</v>
      </c>
      <c r="G47" s="72">
        <f t="shared" si="38"/>
        <v>0</v>
      </c>
      <c r="H47" s="72">
        <f t="shared" si="38"/>
        <v>0</v>
      </c>
      <c r="I47" s="75">
        <f t="shared" si="38"/>
        <v>50351</v>
      </c>
      <c r="J47" s="65" t="str">
        <f t="shared" si="39"/>
        <v>n/a</v>
      </c>
      <c r="K47" s="65" t="str">
        <f t="shared" si="40"/>
        <v>n/a</v>
      </c>
      <c r="L47" s="61">
        <f t="shared" ref="L47" si="42">IFERROR(F47/I47-1,"n/a")</f>
        <v>1.0347361522114755</v>
      </c>
      <c r="M47" s="83">
        <f>+M20-'Mar-22'!M17</f>
        <v>340657</v>
      </c>
      <c r="N47" s="83">
        <f>+N20-'Mar-22'!N17</f>
        <v>0</v>
      </c>
      <c r="O47" s="83">
        <f>+O20-'Mar-22'!O17</f>
        <v>111</v>
      </c>
      <c r="P47" s="83">
        <f>+P20-'Mar-22'!P17</f>
        <v>162404</v>
      </c>
      <c r="Q47" s="65" t="str">
        <f>IFERROR(M47/N47-1,"n/a")</f>
        <v>n/a</v>
      </c>
      <c r="R47" s="65">
        <f>IFERROR(M47/O47-1,"n/a")</f>
        <v>3067.9819819819818</v>
      </c>
      <c r="S47" s="61">
        <f t="shared" si="41"/>
        <v>1.0975899608384032</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5" customHeight="1">
      <c r="C56" s="34"/>
      <c r="D56" s="27" t="s">
        <v>11</v>
      </c>
      <c r="E56" s="33"/>
      <c r="F56" s="75">
        <f t="shared" si="53"/>
        <v>185962</v>
      </c>
      <c r="G56" s="75">
        <f t="shared" si="53"/>
        <v>25181</v>
      </c>
      <c r="H56" s="72">
        <f t="shared" si="53"/>
        <v>0</v>
      </c>
      <c r="I56" s="75">
        <f t="shared" si="53"/>
        <v>149851</v>
      </c>
      <c r="J56" s="65">
        <f t="shared" si="54"/>
        <v>6.3850125094317143</v>
      </c>
      <c r="K56" s="65" t="str">
        <f t="shared" si="55"/>
        <v>n/a</v>
      </c>
      <c r="L56" s="61">
        <f t="shared" si="56"/>
        <v>0.24097937284369131</v>
      </c>
      <c r="M56" s="83">
        <f>+M29-'Mar-22'!M26</f>
        <v>532681</v>
      </c>
      <c r="N56" s="83">
        <f>+N29-'Mar-22'!N26</f>
        <v>79675</v>
      </c>
      <c r="O56" s="83">
        <f>+O29-'Mar-22'!O26</f>
        <v>8294</v>
      </c>
      <c r="P56" s="83">
        <f>+P29-'Mar-22'!P26</f>
        <v>586871</v>
      </c>
      <c r="Q56" s="65">
        <f>IFERROR(M56/N56-1,"n/a")</f>
        <v>5.6856730467524317</v>
      </c>
      <c r="R56" s="65">
        <f>IFERROR(M56/O56-1,"n/a")</f>
        <v>63.224861345551005</v>
      </c>
      <c r="S56" s="61">
        <f t="shared" si="57"/>
        <v>-9.2337157569551076E-2</v>
      </c>
      <c r="T56" s="83">
        <v>174336</v>
      </c>
      <c r="U56" s="85">
        <v>21928</v>
      </c>
      <c r="V56" s="79">
        <f>706948+155011</f>
        <v>861959</v>
      </c>
    </row>
    <row r="57" spans="3:22" ht="26.7" customHeight="1" thickBot="1">
      <c r="C57" s="36" t="s">
        <v>12</v>
      </c>
      <c r="D57" s="37"/>
      <c r="E57" s="38"/>
      <c r="F57" s="76">
        <f t="shared" ref="F57:I58" si="58">F40+F43+F46+F49+F52+F55</f>
        <v>309</v>
      </c>
      <c r="G57" s="76">
        <f t="shared" si="58"/>
        <v>108</v>
      </c>
      <c r="H57" s="76">
        <f t="shared" si="58"/>
        <v>5</v>
      </c>
      <c r="I57" s="76">
        <f t="shared" si="58"/>
        <v>272</v>
      </c>
      <c r="J57" s="67">
        <f t="shared" si="54"/>
        <v>1.8611111111111112</v>
      </c>
      <c r="K57" s="67">
        <f t="shared" si="55"/>
        <v>60.8</v>
      </c>
      <c r="L57" s="63">
        <f t="shared" si="56"/>
        <v>0.13602941176470584</v>
      </c>
      <c r="M57" s="47">
        <f t="shared" ref="M57:P58" si="59">M40+M43+M46+M49+M52+M55</f>
        <v>1635</v>
      </c>
      <c r="N57" s="47">
        <f t="shared" si="59"/>
        <v>222</v>
      </c>
      <c r="O57" s="47">
        <f t="shared" si="59"/>
        <v>49</v>
      </c>
      <c r="P57" s="47">
        <f t="shared" si="59"/>
        <v>1442</v>
      </c>
      <c r="Q57" s="67">
        <f>IFERROR(M57/N57-1,"n/a")</f>
        <v>6.3648648648648649</v>
      </c>
      <c r="R57" s="67">
        <f>IFERROR(M57/O57-1,"n/a")</f>
        <v>32.367346938775512</v>
      </c>
      <c r="S57" s="63">
        <f t="shared" si="57"/>
        <v>0.13384188626907068</v>
      </c>
      <c r="T57" s="47">
        <f t="shared" ref="T57:V58" si="60">T40+T43+T46+T49+T52+T55</f>
        <v>1682</v>
      </c>
      <c r="U57" s="47">
        <f t="shared" si="60"/>
        <v>679</v>
      </c>
      <c r="V57" s="81">
        <f t="shared" si="60"/>
        <v>3274</v>
      </c>
    </row>
    <row r="58" spans="3:22" ht="26.7" customHeight="1" thickTop="1" thickBot="1">
      <c r="C58" s="39" t="s">
        <v>13</v>
      </c>
      <c r="D58" s="40"/>
      <c r="E58" s="41"/>
      <c r="F58" s="77">
        <f t="shared" si="58"/>
        <v>890577</v>
      </c>
      <c r="G58" s="77">
        <f t="shared" si="58"/>
        <v>165560</v>
      </c>
      <c r="H58" s="77">
        <f t="shared" si="58"/>
        <v>2541</v>
      </c>
      <c r="I58" s="77">
        <f t="shared" si="58"/>
        <v>926112</v>
      </c>
      <c r="J58" s="68">
        <f t="shared" si="54"/>
        <v>4.3791797535636627</v>
      </c>
      <c r="K58" s="68">
        <f t="shared" si="55"/>
        <v>349.48288075560805</v>
      </c>
      <c r="L58" s="64">
        <f t="shared" si="56"/>
        <v>-3.8370089146885E-2</v>
      </c>
      <c r="M58" s="48">
        <f t="shared" si="59"/>
        <v>3512246</v>
      </c>
      <c r="N58" s="48">
        <f t="shared" si="59"/>
        <v>322041</v>
      </c>
      <c r="O58" s="48">
        <f t="shared" si="59"/>
        <v>10946</v>
      </c>
      <c r="P58" s="48">
        <f t="shared" si="59"/>
        <v>4279812</v>
      </c>
      <c r="Q58" s="68">
        <f>IFERROR(M58/N58-1,"n/a")</f>
        <v>9.9062075946851493</v>
      </c>
      <c r="R58" s="68">
        <f>IFERROR(M58/O58-1,"n/a")</f>
        <v>319.87027224556914</v>
      </c>
      <c r="S58" s="64">
        <f t="shared" si="57"/>
        <v>-0.17934572827030715</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9"/>
  <sheetViews>
    <sheetView showGridLines="0" zoomScale="85" zoomScaleNormal="85" zoomScalePageLayoutView="40" workbookViewId="0">
      <selection activeCell="F13" sqref="F1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02" t="s">
        <v>55</v>
      </c>
      <c r="G9" s="102"/>
      <c r="H9" s="102"/>
      <c r="I9" s="102"/>
      <c r="J9" s="102"/>
      <c r="K9" s="102"/>
      <c r="L9" s="103"/>
      <c r="M9" s="104" t="s">
        <v>60</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4.4">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4.4">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4.4">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239678</v>
      </c>
      <c r="N20" s="69">
        <f>G20+'Jun-22'!N17</f>
        <v>0</v>
      </c>
      <c r="O20" s="69">
        <f>H20+'Jun-22'!O17</f>
        <v>1753</v>
      </c>
      <c r="P20" s="69">
        <f>I20+'Jun-22'!P17</f>
        <v>117191</v>
      </c>
      <c r="Q20" s="65" t="str">
        <f t="shared" si="9"/>
        <v>n/a</v>
      </c>
      <c r="R20" s="65">
        <f t="shared" si="10"/>
        <v>135.72447233314318</v>
      </c>
      <c r="S20" s="61">
        <f t="shared" si="11"/>
        <v>1.0451911836233156</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4.4">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4.4">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124</v>
      </c>
      <c r="U28" s="71">
        <v>37</v>
      </c>
      <c r="V28" s="79">
        <f>282+81</f>
        <v>363</v>
      </c>
    </row>
    <row r="29" spans="1:38" ht="14.4">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358319</v>
      </c>
      <c r="N29" s="69">
        <f>G29+'Jun-22'!N26</f>
        <v>56633</v>
      </c>
      <c r="O29" s="69">
        <f>H29+'Jun-22'!O26</f>
        <v>9186</v>
      </c>
      <c r="P29" s="69">
        <f>I29+'Jun-22'!P26</f>
        <v>443129</v>
      </c>
      <c r="Q29" s="65">
        <f t="shared" si="22"/>
        <v>5.3270354740169159</v>
      </c>
      <c r="R29" s="65">
        <f t="shared" si="23"/>
        <v>38.007075985194859</v>
      </c>
      <c r="S29" s="61">
        <f t="shared" si="24"/>
        <v>-0.19138896348467371</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3489374</v>
      </c>
      <c r="N31" s="48">
        <f t="shared" si="26"/>
        <v>166584</v>
      </c>
      <c r="O31" s="48">
        <f t="shared" si="26"/>
        <v>1284596</v>
      </c>
      <c r="P31" s="48">
        <f t="shared" si="26"/>
        <v>5144226</v>
      </c>
      <c r="Q31" s="68">
        <f t="shared" si="22"/>
        <v>19.946633530230994</v>
      </c>
      <c r="R31" s="68">
        <f t="shared" si="23"/>
        <v>1.7163201504597554</v>
      </c>
      <c r="S31" s="64">
        <f t="shared" si="24"/>
        <v>-0.32169115431553741</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July</v>
      </c>
      <c r="G36" s="102"/>
      <c r="H36" s="102"/>
      <c r="I36" s="102"/>
      <c r="J36" s="102"/>
      <c r="K36" s="102"/>
      <c r="L36" s="103"/>
      <c r="M36" s="104" t="s">
        <v>61</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200000000000003"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238206</v>
      </c>
      <c r="N47" s="83">
        <f>+N20-'Mar-22'!N17</f>
        <v>0</v>
      </c>
      <c r="O47" s="83">
        <f>+O20-'Mar-22'!O17</f>
        <v>111</v>
      </c>
      <c r="P47" s="83">
        <f>+P20-'Mar-22'!P17</f>
        <v>112053</v>
      </c>
      <c r="Q47" s="65" t="str">
        <f>IFERROR(M47/N47-1,"n/a")</f>
        <v>n/a</v>
      </c>
      <c r="R47" s="65">
        <f>IFERROR(M47/O47-1,"n/a")</f>
        <v>2145</v>
      </c>
      <c r="S47" s="61">
        <f t="shared" si="42"/>
        <v>1.1258333110224625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5"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346719</v>
      </c>
      <c r="N56" s="83">
        <f>+N29-'Mar-22'!N26</f>
        <v>54494</v>
      </c>
      <c r="O56" s="83">
        <f>+O29-'Mar-22'!O26</f>
        <v>8294</v>
      </c>
      <c r="P56" s="83">
        <f>+P29-'Mar-22'!P26</f>
        <v>437020</v>
      </c>
      <c r="Q56" s="65">
        <f>IFERROR(M56/N56-1,"n/a")</f>
        <v>5.3625169743457999</v>
      </c>
      <c r="R56" s="65">
        <f>IFERROR(M56/O56-1,"n/a")</f>
        <v>40.803592958765371</v>
      </c>
      <c r="S56" s="61">
        <f t="shared" si="61"/>
        <v>-0.20662898723170564</v>
      </c>
      <c r="T56" s="83">
        <v>174336</v>
      </c>
      <c r="U56" s="85">
        <v>21928</v>
      </c>
      <c r="V56" s="79">
        <f>706948+155011</f>
        <v>861959</v>
      </c>
    </row>
    <row r="57" spans="3:22" ht="26.7"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7"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2621669</v>
      </c>
      <c r="N58" s="48">
        <f t="shared" si="68"/>
        <v>156481</v>
      </c>
      <c r="O58" s="48">
        <f t="shared" si="68"/>
        <v>8405</v>
      </c>
      <c r="P58" s="48">
        <f t="shared" ref="P58" si="69">P41+P44+P47+P50+P53+P56</f>
        <v>3353700</v>
      </c>
      <c r="Q58" s="68">
        <f>IFERROR(M58/N58-1,"n/a")</f>
        <v>15.753912615589112</v>
      </c>
      <c r="R58" s="68">
        <f>IFERROR(M58/O58-1,"n/a")</f>
        <v>310.91778703152886</v>
      </c>
      <c r="S58" s="64">
        <f t="shared" si="61"/>
        <v>-0.21827563586486565</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48"/>
  <sheetViews>
    <sheetView showGridLines="0" zoomScale="85" zoomScaleNormal="85"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51</v>
      </c>
      <c r="G6" s="102"/>
      <c r="H6" s="102"/>
      <c r="I6" s="102"/>
      <c r="J6" s="102"/>
      <c r="K6" s="102"/>
      <c r="L6" s="103"/>
      <c r="M6" s="104" t="s">
        <v>52</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4.4">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4.4">
      <c r="A12" s="10"/>
      <c r="B12" s="13"/>
      <c r="C12" s="32" t="s">
        <v>74</v>
      </c>
      <c r="D12" s="27"/>
      <c r="E12" s="33"/>
      <c r="F12" s="27"/>
      <c r="G12" s="27"/>
      <c r="H12" s="27"/>
      <c r="I12" s="27"/>
      <c r="J12" s="65"/>
      <c r="K12" s="65"/>
      <c r="L12" s="62"/>
      <c r="M12" s="44"/>
      <c r="N12" s="44"/>
      <c r="O12" s="44"/>
      <c r="P12" s="44"/>
      <c r="Q12" s="65"/>
      <c r="R12" s="66"/>
      <c r="S12" s="62"/>
      <c r="T12" s="44"/>
      <c r="U12" s="45"/>
      <c r="V12" s="45"/>
    </row>
    <row r="13" spans="1:38" ht="14.4">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4.4">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4.4">
      <c r="A15" s="10"/>
      <c r="B15" s="13"/>
      <c r="C15" s="32" t="s">
        <v>15</v>
      </c>
      <c r="D15" s="27"/>
      <c r="E15" s="33"/>
      <c r="F15" s="73"/>
      <c r="G15" s="73"/>
      <c r="H15" s="73"/>
      <c r="I15" s="73"/>
      <c r="J15" s="65"/>
      <c r="K15" s="65"/>
      <c r="L15" s="61"/>
      <c r="M15" s="44"/>
      <c r="N15" s="44"/>
      <c r="O15" s="44"/>
      <c r="P15" s="44"/>
      <c r="Q15" s="65"/>
      <c r="R15" s="65"/>
      <c r="S15" s="61"/>
      <c r="T15" s="44"/>
      <c r="U15" s="45"/>
      <c r="V15" s="45"/>
    </row>
    <row r="16" spans="1:38" ht="14.4">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4.4">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158488</v>
      </c>
      <c r="N17" s="69">
        <f>G17+'May-22'!N17</f>
        <v>0</v>
      </c>
      <c r="O17" s="69">
        <f>H17+'May-22'!O17</f>
        <v>1642</v>
      </c>
      <c r="P17" s="69">
        <f>I17+'May-22'!P17</f>
        <v>76540</v>
      </c>
      <c r="Q17" s="65" t="str">
        <f t="shared" si="9"/>
        <v>n/a</v>
      </c>
      <c r="R17" s="65">
        <f t="shared" si="10"/>
        <v>95.521315468940315</v>
      </c>
      <c r="S17" s="61">
        <f t="shared" si="11"/>
        <v>1.0706558662137446</v>
      </c>
      <c r="T17" s="69">
        <v>8611</v>
      </c>
      <c r="U17" s="71">
        <v>1753</v>
      </c>
      <c r="V17" s="71">
        <v>254421</v>
      </c>
    </row>
    <row r="18" spans="1:38" ht="14.4">
      <c r="A18" s="10"/>
      <c r="B18" s="13"/>
      <c r="C18" s="32" t="s">
        <v>10</v>
      </c>
      <c r="D18" s="27"/>
      <c r="E18" s="35"/>
      <c r="F18" s="73"/>
      <c r="G18" s="73"/>
      <c r="H18" s="73"/>
      <c r="I18" s="73"/>
      <c r="J18" s="65"/>
      <c r="K18" s="65"/>
      <c r="L18" s="61"/>
      <c r="M18" s="44"/>
      <c r="N18" s="44"/>
      <c r="O18" s="44"/>
      <c r="P18" s="44"/>
      <c r="Q18" s="65"/>
      <c r="R18" s="65"/>
      <c r="S18" s="61"/>
      <c r="T18" s="44"/>
      <c r="U18" s="45"/>
      <c r="V18" s="45"/>
    </row>
    <row r="19" spans="1:38" ht="14.4">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4.4">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4.4">
      <c r="A21" s="10"/>
      <c r="B21" s="13"/>
      <c r="C21" s="32" t="s">
        <v>16</v>
      </c>
      <c r="D21" s="27"/>
      <c r="E21" s="33"/>
      <c r="F21" s="73"/>
      <c r="G21" s="73"/>
      <c r="H21" s="73"/>
      <c r="I21" s="73"/>
      <c r="J21" s="65"/>
      <c r="K21" s="65"/>
      <c r="L21" s="61"/>
      <c r="M21" s="44"/>
      <c r="N21" s="44"/>
      <c r="O21" s="44"/>
      <c r="P21" s="44"/>
      <c r="Q21" s="65"/>
      <c r="R21" s="65"/>
      <c r="S21" s="61"/>
      <c r="T21" s="44"/>
      <c r="U21" s="45"/>
      <c r="V21" s="45"/>
    </row>
    <row r="22" spans="1:38" ht="14.4">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4.4">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4.4">
      <c r="A24" s="10"/>
      <c r="B24" s="13"/>
      <c r="C24" s="32" t="s">
        <v>17</v>
      </c>
      <c r="D24" s="27"/>
      <c r="E24" s="33"/>
      <c r="F24" s="73"/>
      <c r="G24" s="73"/>
      <c r="H24" s="73"/>
      <c r="I24" s="73"/>
      <c r="J24" s="65"/>
      <c r="K24" s="65"/>
      <c r="L24" s="61"/>
      <c r="M24" s="44"/>
      <c r="N24" s="44"/>
      <c r="O24" s="44"/>
      <c r="P24" s="44"/>
      <c r="Q24" s="65"/>
      <c r="R24" s="65"/>
      <c r="S24" s="61"/>
      <c r="T24" s="44"/>
      <c r="U24" s="45"/>
      <c r="V24" s="45"/>
    </row>
    <row r="25" spans="1:38" ht="14.4">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124</v>
      </c>
      <c r="U25" s="71">
        <v>37</v>
      </c>
      <c r="V25" s="71">
        <f>282+81</f>
        <v>363</v>
      </c>
    </row>
    <row r="26" spans="1:38" ht="14.4">
      <c r="A26" s="10"/>
      <c r="B26" s="13"/>
      <c r="C26" s="34"/>
      <c r="D26" s="27" t="s">
        <v>11</v>
      </c>
      <c r="E26" s="33"/>
      <c r="F26" s="75">
        <f>77613+19398</f>
        <v>97011</v>
      </c>
      <c r="G26" s="75">
        <v>17608</v>
      </c>
      <c r="H26" s="72">
        <v>2213</v>
      </c>
      <c r="I26" s="75">
        <f>96544+20022</f>
        <v>116566</v>
      </c>
      <c r="J26" s="65">
        <f t="shared" si="0"/>
        <v>4.509484325306679</v>
      </c>
      <c r="K26" s="65">
        <f t="shared" si="21"/>
        <v>42.836873023045641</v>
      </c>
      <c r="L26" s="61">
        <f t="shared" si="12"/>
        <v>-0.16775903779832879</v>
      </c>
      <c r="M26" s="69">
        <f>F26+'May-22'!M26</f>
        <v>219413</v>
      </c>
      <c r="N26" s="69">
        <f>G26+'May-22'!N26</f>
        <v>32652</v>
      </c>
      <c r="O26" s="69">
        <f>H26+'May-22'!O26</f>
        <v>3105</v>
      </c>
      <c r="P26" s="69">
        <f>I26+'May-22'!P26</f>
        <v>311181</v>
      </c>
      <c r="Q26" s="65">
        <f t="shared" si="22"/>
        <v>5.7197415165992895</v>
      </c>
      <c r="R26" s="65">
        <f t="shared" si="23"/>
        <v>69.664412238325284</v>
      </c>
      <c r="S26" s="61">
        <f t="shared" si="24"/>
        <v>-0.29490232372799108</v>
      </c>
      <c r="T26" s="69">
        <v>165083</v>
      </c>
      <c r="U26" s="71">
        <f>20768+8294</f>
        <v>29062</v>
      </c>
      <c r="V26" s="71">
        <f>659951+168729+38484</f>
        <v>867164</v>
      </c>
    </row>
    <row r="27" spans="1:38" ht="1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1059</v>
      </c>
      <c r="U27" s="47">
        <f t="shared" si="27"/>
        <v>667</v>
      </c>
      <c r="V27" s="47">
        <f t="shared" si="27"/>
        <v>3344</v>
      </c>
    </row>
    <row r="28" spans="1:38" s="23" customFormat="1" ht="15.6" thickTop="1" thickBot="1">
      <c r="A28" s="10"/>
      <c r="B28" s="13"/>
      <c r="C28" s="39" t="s">
        <v>13</v>
      </c>
      <c r="D28" s="40"/>
      <c r="E28" s="41"/>
      <c r="F28" s="77">
        <f t="shared" si="25"/>
        <v>677754</v>
      </c>
      <c r="G28" s="77">
        <f t="shared" si="25"/>
        <v>33501</v>
      </c>
      <c r="H28" s="77">
        <f t="shared" si="25"/>
        <v>2213</v>
      </c>
      <c r="I28" s="77">
        <f t="shared" si="25"/>
        <v>852389</v>
      </c>
      <c r="J28" s="68">
        <f t="shared" si="0"/>
        <v>19.230858780334916</v>
      </c>
      <c r="K28" s="68">
        <f t="shared" si="21"/>
        <v>305.26028016267509</v>
      </c>
      <c r="L28" s="64">
        <f t="shared" si="12"/>
        <v>-0.2048771159646593</v>
      </c>
      <c r="M28" s="48">
        <f t="shared" si="26"/>
        <v>2632135</v>
      </c>
      <c r="N28" s="48">
        <f t="shared" si="26"/>
        <v>74087</v>
      </c>
      <c r="O28" s="48">
        <f t="shared" si="26"/>
        <v>1278404</v>
      </c>
      <c r="P28" s="48">
        <f t="shared" si="26"/>
        <v>4275202</v>
      </c>
      <c r="Q28" s="68">
        <f t="shared" si="22"/>
        <v>34.527622929798753</v>
      </c>
      <c r="R28" s="68">
        <f t="shared" si="23"/>
        <v>1.0589226879765707</v>
      </c>
      <c r="S28" s="64">
        <f t="shared" si="24"/>
        <v>-0.38432499797670383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46D9A463-0074-4F2F-80E0-D59196DAF445}"/>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schemas.microsoft.com/office/infopath/2007/PartnerControls"/>
    <ds:schemaRef ds:uri="50acc271-0769-44fa-a07c-5c2dfce6e462"/>
    <ds:schemaRef ds:uri="http://www.w3.org/XML/1998/namespace"/>
    <ds:schemaRef ds:uri="http://purl.org/dc/elements/1.1/"/>
    <ds:schemaRef ds:uri="http://schemas.openxmlformats.org/package/2006/metadata/core-properties"/>
    <ds:schemaRef ds:uri="8cd7474e-1d48-42f1-a929-9fa835c241d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 </vt:lpstr>
      <vt:lpstr>Disclaimer</vt:lpstr>
      <vt:lpstr>Notes</vt:lpstr>
      <vt:lpstr>Occupancy_2022</vt:lpstr>
      <vt:lpstr>Traffic&gt;</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Guzel Karasu</cp:lastModifiedBy>
  <cp:lastPrinted>2022-08-04T14:43:41Z</cp:lastPrinted>
  <dcterms:created xsi:type="dcterms:W3CDTF">2021-12-10T09:13:50Z</dcterms:created>
  <dcterms:modified xsi:type="dcterms:W3CDTF">2022-10-05T13:27:17Z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