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tin Brown\OneDrive - GLOBAL PORTS HOLDING\IR Folder\2022 - Releases\"/>
    </mc:Choice>
  </mc:AlternateContent>
  <bookViews>
    <workbookView xWindow="-120" yWindow="-120" windowWidth="29040" windowHeight="15840" firstSheet="2" activeTab="5"/>
  </bookViews>
  <sheets>
    <sheet name=" " sheetId="3" r:id="rId1"/>
    <sheet name="Disclaimer" sheetId="13" r:id="rId2"/>
    <sheet name="Notes" sheetId="11" r:id="rId3"/>
    <sheet name="Occupancy_2022" sheetId="24" r:id="rId4"/>
    <sheet name="Traffic&gt;" sheetId="25" r:id="rId5"/>
    <sheet name="Aug-22" sheetId="22" r:id="rId6"/>
    <sheet name="Jul-22" sheetId="21" r:id="rId7"/>
    <sheet name="Jun-22" sheetId="20" r:id="rId8"/>
    <sheet name="May-22" sheetId="19" r:id="rId9"/>
    <sheet name="Apr-22" sheetId="18" r:id="rId10"/>
    <sheet name="Mar-22" sheetId="17" r:id="rId11"/>
    <sheet name="Feb-22" sheetId="16" r:id="rId12"/>
    <sheet name="Jan-22" sheetId="15" r:id="rId13"/>
    <sheet name="Dec-21" sheetId="14" r:id="rId14"/>
    <sheet name="Nov-21" sheetId="10" r:id="rId15"/>
    <sheet name="Oct-21" sheetId="9" r:id="rId16"/>
    <sheet name="Sept-21" sheetId="1" r:id="rId17"/>
  </sheets>
  <externalReferences>
    <externalReference r:id="rId18"/>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Notes!$A$1:$CA$35</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9" hidden="1">'Apr-22'!$X:$XFD</definedName>
    <definedName name="Z_5F6D01E3_9E6F_4D7F_980F_63899AF95899_.wvu.Cols" localSheetId="5" hidden="1">'Aug-22'!$X:$XFD</definedName>
    <definedName name="Z_5F6D01E3_9E6F_4D7F_980F_63899AF95899_.wvu.Cols" localSheetId="13" hidden="1">'Dec-21'!$S:$XFD</definedName>
    <definedName name="Z_5F6D01E3_9E6F_4D7F_980F_63899AF95899_.wvu.Cols" localSheetId="1" hidden="1">Disclaimer!$X:$XFD</definedName>
    <definedName name="Z_5F6D01E3_9E6F_4D7F_980F_63899AF95899_.wvu.Cols" localSheetId="11" hidden="1">'Feb-22'!$X:$XFD</definedName>
    <definedName name="Z_5F6D01E3_9E6F_4D7F_980F_63899AF95899_.wvu.Cols" localSheetId="12" hidden="1">'Jan-22'!$X:$XFD</definedName>
    <definedName name="Z_5F6D01E3_9E6F_4D7F_980F_63899AF95899_.wvu.Cols" localSheetId="6" hidden="1">'Jul-22'!$X:$XFD</definedName>
    <definedName name="Z_5F6D01E3_9E6F_4D7F_980F_63899AF95899_.wvu.Cols" localSheetId="7" hidden="1">'Jun-22'!$X:$XFD</definedName>
    <definedName name="Z_5F6D01E3_9E6F_4D7F_980F_63899AF95899_.wvu.Cols" localSheetId="10" hidden="1">'Mar-22'!$X:$XFD</definedName>
    <definedName name="Z_5F6D01E3_9E6F_4D7F_980F_63899AF95899_.wvu.Cols" localSheetId="8" hidden="1">'May-22'!$X:$XFD</definedName>
    <definedName name="Z_5F6D01E3_9E6F_4D7F_980F_63899AF95899_.wvu.Cols" localSheetId="2" hidden="1">Notes!$S:$XFD</definedName>
    <definedName name="Z_5F6D01E3_9E6F_4D7F_980F_63899AF95899_.wvu.Cols" localSheetId="14" hidden="1">'Nov-21'!$S:$XFD</definedName>
    <definedName name="Z_5F6D01E3_9E6F_4D7F_980F_63899AF95899_.wvu.Cols" localSheetId="3" hidden="1">Occupancy_2022!$U:$XFD</definedName>
    <definedName name="Z_5F6D01E3_9E6F_4D7F_980F_63899AF95899_.wvu.Cols" localSheetId="15" hidden="1">'Oct-21'!$S:$XFD</definedName>
    <definedName name="Z_5F6D01E3_9E6F_4D7F_980F_63899AF95899_.wvu.Cols" localSheetId="16"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Notes!$A$1:$CA$35</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9" hidden="1">'Apr-22'!$49:$1048576,'Apr-22'!$30:$48</definedName>
    <definedName name="Z_5F6D01E3_9E6F_4D7F_980F_63899AF95899_.wvu.Rows" localSheetId="13" hidden="1">'Dec-21'!$49:$1048576,'Dec-21'!$30:$48</definedName>
    <definedName name="Z_5F6D01E3_9E6F_4D7F_980F_63899AF95899_.wvu.Rows" localSheetId="1" hidden="1">Disclaimer!$45:$1048576,Disclaimer!$30:$44</definedName>
    <definedName name="Z_5F6D01E3_9E6F_4D7F_980F_63899AF95899_.wvu.Rows" localSheetId="11" hidden="1">'Feb-22'!$49:$1048576,'Feb-22'!$30:$48</definedName>
    <definedName name="Z_5F6D01E3_9E6F_4D7F_980F_63899AF95899_.wvu.Rows" localSheetId="12" hidden="1">'Jan-22'!$49:$1048576,'Jan-22'!$30:$48</definedName>
    <definedName name="Z_5F6D01E3_9E6F_4D7F_980F_63899AF95899_.wvu.Rows" localSheetId="7" hidden="1">'Jun-22'!$49:$1048576,'Jun-22'!$30:$48</definedName>
    <definedName name="Z_5F6D01E3_9E6F_4D7F_980F_63899AF95899_.wvu.Rows" localSheetId="10" hidden="1">'Mar-22'!$49:$1048576,'Mar-22'!$30:$48</definedName>
    <definedName name="Z_5F6D01E3_9E6F_4D7F_980F_63899AF95899_.wvu.Rows" localSheetId="8" hidden="1">'May-22'!$49:$1048576,'May-22'!$30:$48</definedName>
    <definedName name="Z_5F6D01E3_9E6F_4D7F_980F_63899AF95899_.wvu.Rows" localSheetId="2" hidden="1">Notes!$45:$1048576,Notes!$27:$44</definedName>
    <definedName name="Z_5F6D01E3_9E6F_4D7F_980F_63899AF95899_.wvu.Rows" localSheetId="14" hidden="1">'Nov-21'!$49:$1048576,'Nov-21'!$30:$48</definedName>
    <definedName name="Z_5F6D01E3_9E6F_4D7F_980F_63899AF95899_.wvu.Rows" localSheetId="15" hidden="1">'Oct-21'!$49:$1048576,'Oct-21'!$30:$48</definedName>
    <definedName name="Z_5F6D01E3_9E6F_4D7F_980F_63899AF95899_.wvu.Rows" localSheetId="16" hidden="1">'Sept-21'!$49:$1048576,'Sept-21'!$30:$48</definedName>
    <definedName name="Z_5F6D01E3_9E6F_4D7F_980F_63899AF95899_.wvu.Rows" localSheetId="4" hidden="1">'Traffic&gt;'!$45:$1048576,'Traffic&gt;'!$27:$44</definedName>
  </definedNames>
  <calcPr calcId="191029"/>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 i="24" l="1"/>
  <c r="F36" i="22" l="1"/>
  <c r="I29" i="22"/>
  <c r="F29" i="22"/>
  <c r="K29" i="22" s="1"/>
  <c r="F20" i="22"/>
  <c r="F47" i="22" s="1"/>
  <c r="I20" i="22"/>
  <c r="F29" i="21"/>
  <c r="F20" i="21"/>
  <c r="I20" i="21"/>
  <c r="I29" i="21"/>
  <c r="F36" i="21"/>
  <c r="U58" i="22"/>
  <c r="T58" i="22"/>
  <c r="V57" i="22"/>
  <c r="U57" i="22"/>
  <c r="T57" i="22"/>
  <c r="V56" i="22"/>
  <c r="V58" i="22" s="1"/>
  <c r="H56" i="22"/>
  <c r="G56" i="22"/>
  <c r="I55" i="22"/>
  <c r="H55" i="22"/>
  <c r="G55" i="22"/>
  <c r="F55" i="22"/>
  <c r="I53" i="22"/>
  <c r="H53" i="22"/>
  <c r="G53" i="22"/>
  <c r="F53" i="22"/>
  <c r="I52" i="22"/>
  <c r="H52" i="22"/>
  <c r="G52" i="22"/>
  <c r="F52" i="22"/>
  <c r="I50" i="22"/>
  <c r="H50" i="22"/>
  <c r="G50" i="22"/>
  <c r="F50" i="22"/>
  <c r="I49" i="22"/>
  <c r="H49" i="22"/>
  <c r="G49" i="22"/>
  <c r="F49" i="22"/>
  <c r="K49" i="22" s="1"/>
  <c r="V47" i="22"/>
  <c r="H47" i="22"/>
  <c r="G47" i="22"/>
  <c r="I46" i="22"/>
  <c r="H46" i="22"/>
  <c r="G46" i="22"/>
  <c r="F46" i="22"/>
  <c r="I44" i="22"/>
  <c r="H44" i="22"/>
  <c r="G44" i="22"/>
  <c r="F44" i="22"/>
  <c r="I43" i="22"/>
  <c r="H43" i="22"/>
  <c r="G43" i="22"/>
  <c r="F43" i="22"/>
  <c r="I41" i="22"/>
  <c r="H41" i="22"/>
  <c r="G41" i="22"/>
  <c r="F41" i="22"/>
  <c r="I40" i="22"/>
  <c r="H40" i="22"/>
  <c r="G40" i="22"/>
  <c r="F40" i="22"/>
  <c r="K40" i="22" s="1"/>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K43" i="22" l="1"/>
  <c r="J41" i="22"/>
  <c r="L49" i="22"/>
  <c r="F56" i="22"/>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K56" i="22"/>
  <c r="J30" i="22"/>
  <c r="K47" i="22"/>
  <c r="J47" i="22"/>
  <c r="F58" i="22"/>
  <c r="K20" i="22"/>
  <c r="L29" i="22"/>
  <c r="J40" i="22"/>
  <c r="L41" i="22"/>
  <c r="L20" i="22"/>
  <c r="J52" i="22"/>
  <c r="I57" i="22"/>
  <c r="J20" i="22"/>
  <c r="J44" i="22"/>
  <c r="F57" i="22"/>
  <c r="F31" i="22"/>
  <c r="K44" i="22"/>
  <c r="J50" i="22"/>
  <c r="L52" i="22"/>
  <c r="J56" i="22"/>
  <c r="I56" i="22"/>
  <c r="L56" i="22" s="1"/>
  <c r="V56" i="21"/>
  <c r="V47" i="21"/>
  <c r="I58" i="22" l="1"/>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L50" i="21" s="1"/>
  <c r="I49" i="21"/>
  <c r="H49" i="21"/>
  <c r="G49" i="21"/>
  <c r="F49" i="21"/>
  <c r="H47" i="21"/>
  <c r="G47" i="21"/>
  <c r="I46" i="21"/>
  <c r="H46" i="21"/>
  <c r="G46" i="21"/>
  <c r="F46" i="21"/>
  <c r="L46" i="21" s="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J52" i="21" l="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F26" i="20"/>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S17" i="20"/>
  <c r="L27" i="20"/>
  <c r="J28" i="20"/>
  <c r="L28" i="20"/>
  <c r="K27" i="20"/>
  <c r="K28" i="20"/>
  <c r="J26" i="19"/>
  <c r="P22" i="19"/>
  <c r="P22" i="20" s="1"/>
  <c r="P25" i="21" s="1"/>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R19" i="18" s="1"/>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S16" i="18" s="1"/>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S13" i="18" s="1"/>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J27" i="18" s="1"/>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M13" i="21" l="1"/>
  <c r="S10" i="20"/>
  <c r="R10" i="20"/>
  <c r="N16" i="22"/>
  <c r="N43" i="22" s="1"/>
  <c r="N43" i="21"/>
  <c r="N19" i="22"/>
  <c r="N46" i="22" s="1"/>
  <c r="N46" i="21"/>
  <c r="P14" i="21"/>
  <c r="S11" i="20"/>
  <c r="O19" i="22"/>
  <c r="O46" i="22" s="1"/>
  <c r="O46" i="21"/>
  <c r="O22" i="22"/>
  <c r="O49" i="22" s="1"/>
  <c r="O49" i="21"/>
  <c r="O25" i="22"/>
  <c r="O52" i="22" s="1"/>
  <c r="O52" i="21"/>
  <c r="O28" i="22"/>
  <c r="O55" i="22" s="1"/>
  <c r="O55" i="21"/>
  <c r="P22" i="22"/>
  <c r="P49" i="22" s="1"/>
  <c r="P49" i="21"/>
  <c r="P28" i="22"/>
  <c r="P55" i="22" s="1"/>
  <c r="P55" i="21"/>
  <c r="M23" i="21"/>
  <c r="Q20" i="20"/>
  <c r="S20" i="20"/>
  <c r="R20" i="20"/>
  <c r="M26" i="21"/>
  <c r="R23" i="20"/>
  <c r="S23" i="20"/>
  <c r="N25" i="22"/>
  <c r="N52" i="22" s="1"/>
  <c r="N52" i="21"/>
  <c r="P17" i="22"/>
  <c r="P44" i="22" s="1"/>
  <c r="P44" i="21"/>
  <c r="P20" i="22"/>
  <c r="P47" i="22" s="1"/>
  <c r="P47" i="21"/>
  <c r="P23" i="22"/>
  <c r="P50" i="22" s="1"/>
  <c r="P50" i="21"/>
  <c r="S23" i="19"/>
  <c r="P23" i="20"/>
  <c r="P26" i="21" s="1"/>
  <c r="P29" i="22"/>
  <c r="P56" i="22" s="1"/>
  <c r="P56" i="21"/>
  <c r="Q17" i="20"/>
  <c r="N22" i="22"/>
  <c r="N49" i="22" s="1"/>
  <c r="N49" i="21"/>
  <c r="Q22" i="18"/>
  <c r="Q25" i="18"/>
  <c r="M13" i="19"/>
  <c r="M13" i="20" s="1"/>
  <c r="Q11" i="20"/>
  <c r="R14" i="20"/>
  <c r="H25" i="14"/>
  <c r="M27" i="14"/>
  <c r="O13" i="22"/>
  <c r="O40" i="21"/>
  <c r="O57" i="21" s="1"/>
  <c r="O30" i="21"/>
  <c r="O16" i="22"/>
  <c r="O43" i="22" s="1"/>
  <c r="O43" i="21"/>
  <c r="M16" i="19"/>
  <c r="M16" i="20" s="1"/>
  <c r="O27" i="20"/>
  <c r="N28" i="22"/>
  <c r="N55" i="22" s="1"/>
  <c r="N55" i="21"/>
  <c r="P13" i="22"/>
  <c r="P40" i="21"/>
  <c r="P30" i="21"/>
  <c r="P16" i="22"/>
  <c r="P43" i="22" s="1"/>
  <c r="P43" i="21"/>
  <c r="P19" i="22"/>
  <c r="P46" i="22" s="1"/>
  <c r="P46" i="21"/>
  <c r="R17" i="20"/>
  <c r="O28" i="20"/>
  <c r="M14" i="22"/>
  <c r="M41" i="21"/>
  <c r="Q14" i="21"/>
  <c r="R14" i="21"/>
  <c r="S14" i="21"/>
  <c r="M17" i="22"/>
  <c r="M44" i="21"/>
  <c r="R17" i="21"/>
  <c r="S17" i="21"/>
  <c r="M20" i="22"/>
  <c r="M47" i="21"/>
  <c r="R20" i="21"/>
  <c r="R11" i="20"/>
  <c r="S14" i="20"/>
  <c r="Q20" i="21"/>
  <c r="N14" i="22"/>
  <c r="N41" i="21"/>
  <c r="Q14" i="20"/>
  <c r="N17" i="21"/>
  <c r="N20" i="22"/>
  <c r="N47" i="22" s="1"/>
  <c r="N47" i="21"/>
  <c r="N23" i="22"/>
  <c r="N50" i="22" s="1"/>
  <c r="N50" i="21"/>
  <c r="Q23" i="19"/>
  <c r="N23" i="20"/>
  <c r="N26" i="21" s="1"/>
  <c r="N29" i="22"/>
  <c r="N56" i="22" s="1"/>
  <c r="N56" i="21"/>
  <c r="P27" i="20"/>
  <c r="S20" i="21"/>
  <c r="P25" i="22"/>
  <c r="P52" i="22" s="1"/>
  <c r="P52" i="21"/>
  <c r="O14" i="22"/>
  <c r="O41" i="21"/>
  <c r="O31" i="21"/>
  <c r="O17" i="22"/>
  <c r="O44" i="22" s="1"/>
  <c r="O44" i="21"/>
  <c r="O20" i="22"/>
  <c r="O47" i="22" s="1"/>
  <c r="O47" i="21"/>
  <c r="O23" i="22"/>
  <c r="O50" i="22" s="1"/>
  <c r="O50" i="21"/>
  <c r="O26" i="22"/>
  <c r="O53" i="22" s="1"/>
  <c r="O53" i="21"/>
  <c r="O29" i="22"/>
  <c r="O56" i="22" s="1"/>
  <c r="O56" i="21"/>
  <c r="N10" i="19"/>
  <c r="N10" i="20" s="1"/>
  <c r="Q10" i="20" s="1"/>
  <c r="Q16" i="20"/>
  <c r="R16" i="20"/>
  <c r="S16" i="20"/>
  <c r="S11" i="19"/>
  <c r="M19" i="19"/>
  <c r="M19" i="20" s="1"/>
  <c r="M22" i="19"/>
  <c r="M25" i="19"/>
  <c r="M25" i="20" s="1"/>
  <c r="R23" i="19"/>
  <c r="M26" i="19"/>
  <c r="L26" i="19"/>
  <c r="K26" i="19"/>
  <c r="I28" i="19"/>
  <c r="F28" i="19"/>
  <c r="J17" i="19"/>
  <c r="R25" i="19"/>
  <c r="S25" i="19"/>
  <c r="Q25" i="19"/>
  <c r="Q20" i="19"/>
  <c r="R20" i="19"/>
  <c r="S20" i="19"/>
  <c r="Q17" i="19"/>
  <c r="R17" i="19"/>
  <c r="S17" i="19"/>
  <c r="S16" i="19"/>
  <c r="P27" i="19"/>
  <c r="Q14" i="19"/>
  <c r="R14" i="19"/>
  <c r="S14" i="19"/>
  <c r="M27" i="19"/>
  <c r="R13" i="19"/>
  <c r="S10" i="19"/>
  <c r="R19" i="19"/>
  <c r="O27" i="19"/>
  <c r="P28" i="19"/>
  <c r="Q13" i="19"/>
  <c r="L27" i="19"/>
  <c r="R11" i="19"/>
  <c r="Q11" i="19"/>
  <c r="O28" i="19"/>
  <c r="N28" i="19"/>
  <c r="S13"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28"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S19" i="19" l="1"/>
  <c r="S17" i="22"/>
  <c r="R17" i="22"/>
  <c r="M44" i="22"/>
  <c r="O40" i="22"/>
  <c r="O30" i="22"/>
  <c r="P30" i="22"/>
  <c r="P40" i="22"/>
  <c r="P57" i="22" s="1"/>
  <c r="N27" i="19"/>
  <c r="R26" i="19"/>
  <c r="M26" i="20"/>
  <c r="N17" i="22"/>
  <c r="N44" i="22" s="1"/>
  <c r="N44" i="21"/>
  <c r="N58" i="21" s="1"/>
  <c r="Q23" i="20"/>
  <c r="S47" i="21"/>
  <c r="R47" i="21"/>
  <c r="Q47" i="21"/>
  <c r="M26" i="22"/>
  <c r="M53" i="21"/>
  <c r="S26" i="21"/>
  <c r="R26" i="21"/>
  <c r="Q26" i="21"/>
  <c r="M28" i="21"/>
  <c r="Q25" i="20"/>
  <c r="R25" i="20"/>
  <c r="S25" i="20"/>
  <c r="O58" i="21"/>
  <c r="N26" i="22"/>
  <c r="N53" i="22" s="1"/>
  <c r="N53" i="21"/>
  <c r="Q53" i="21" s="1"/>
  <c r="N31" i="21"/>
  <c r="Q20" i="22"/>
  <c r="M47" i="22"/>
  <c r="R20" i="22"/>
  <c r="S20" i="22"/>
  <c r="M19" i="21"/>
  <c r="Q19" i="19"/>
  <c r="S22" i="19"/>
  <c r="M22" i="20"/>
  <c r="O41" i="22"/>
  <c r="O58" i="22" s="1"/>
  <c r="O31" i="22"/>
  <c r="Q41" i="21"/>
  <c r="S41" i="21"/>
  <c r="R41" i="21"/>
  <c r="Q10" i="19"/>
  <c r="M22" i="21"/>
  <c r="R19" i="20"/>
  <c r="S19" i="20"/>
  <c r="Q19" i="20"/>
  <c r="N41" i="22"/>
  <c r="N58" i="22" s="1"/>
  <c r="N31" i="22"/>
  <c r="Q17" i="21"/>
  <c r="Q14" i="22"/>
  <c r="R14" i="22"/>
  <c r="M41" i="22"/>
  <c r="O57" i="22"/>
  <c r="M16" i="21"/>
  <c r="R13" i="20"/>
  <c r="Q13" i="20"/>
  <c r="S13" i="20"/>
  <c r="P26" i="22"/>
  <c r="P53" i="22" s="1"/>
  <c r="P53" i="21"/>
  <c r="P28" i="20"/>
  <c r="N13" i="21"/>
  <c r="N27" i="20"/>
  <c r="Q44" i="21"/>
  <c r="S44" i="21"/>
  <c r="R44" i="21"/>
  <c r="N28" i="20"/>
  <c r="P57" i="21"/>
  <c r="M23" i="22"/>
  <c r="M50" i="21"/>
  <c r="S23" i="21"/>
  <c r="R23" i="21"/>
  <c r="Q23" i="21"/>
  <c r="P14" i="22"/>
  <c r="S14" i="22" s="1"/>
  <c r="P41" i="21"/>
  <c r="P31" i="21"/>
  <c r="M13" i="22"/>
  <c r="M40" i="21"/>
  <c r="S13" i="21"/>
  <c r="Q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M16" i="22" l="1"/>
  <c r="S16" i="21"/>
  <c r="M43" i="21"/>
  <c r="R16" i="21"/>
  <c r="Q16" i="21"/>
  <c r="M19" i="22"/>
  <c r="S19" i="21"/>
  <c r="Q19" i="21"/>
  <c r="R19" i="21"/>
  <c r="Q17" i="22"/>
  <c r="S40" i="21"/>
  <c r="R40" i="21"/>
  <c r="S50" i="21"/>
  <c r="R50" i="21"/>
  <c r="Q50" i="21"/>
  <c r="N13" i="22"/>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49" i="21"/>
  <c r="S22" i="21"/>
  <c r="Q22" i="21"/>
  <c r="R22" i="21"/>
  <c r="S47" i="22"/>
  <c r="Q47" i="22"/>
  <c r="R47" i="22"/>
  <c r="P31" i="22"/>
  <c r="P41" i="22"/>
  <c r="P58" i="22" s="1"/>
  <c r="M25" i="21"/>
  <c r="M30" i="21" s="1"/>
  <c r="R22" i="20"/>
  <c r="Q22" i="20"/>
  <c r="S22" i="20"/>
  <c r="M28" i="22"/>
  <c r="M55" i="21"/>
  <c r="R28" i="21"/>
  <c r="S28" i="21"/>
  <c r="Q28" i="21"/>
  <c r="M27" i="20"/>
  <c r="S28" i="19"/>
  <c r="R28" i="19"/>
  <c r="L28" i="17"/>
  <c r="J28" i="17"/>
  <c r="R26" i="17"/>
  <c r="S26" i="17"/>
  <c r="Q26" i="17"/>
  <c r="M28" i="17"/>
  <c r="L27" i="17"/>
  <c r="K27" i="17"/>
  <c r="J27" i="17"/>
  <c r="R25" i="17"/>
  <c r="Q25" i="17"/>
  <c r="S25" i="17"/>
  <c r="M27" i="17"/>
  <c r="P27" i="1"/>
  <c r="P28" i="1"/>
  <c r="Q30" i="21" l="1"/>
  <c r="S30" i="21"/>
  <c r="R30" i="21"/>
  <c r="S46" i="21"/>
  <c r="R46" i="21"/>
  <c r="Q46" i="21"/>
  <c r="R27" i="20"/>
  <c r="S27" i="20"/>
  <c r="Q27" i="20"/>
  <c r="R53" i="22"/>
  <c r="Q53" i="22"/>
  <c r="S53" i="22"/>
  <c r="S40" i="22"/>
  <c r="R40" i="22"/>
  <c r="Q40" i="22"/>
  <c r="S28" i="20"/>
  <c r="Q28" i="20"/>
  <c r="R28" i="20"/>
  <c r="S41" i="22"/>
  <c r="Q40" i="21"/>
  <c r="S50" i="22"/>
  <c r="Q50" i="22"/>
  <c r="R50" i="22"/>
  <c r="Q49" i="21"/>
  <c r="S49" i="21"/>
  <c r="R49" i="21"/>
  <c r="N40" i="22"/>
  <c r="N57" i="22" s="1"/>
  <c r="N30" i="22"/>
  <c r="S43" i="21"/>
  <c r="R43" i="21"/>
  <c r="Q43" i="21"/>
  <c r="Q19" i="22"/>
  <c r="R19" i="22"/>
  <c r="M46" i="22"/>
  <c r="S19" i="22"/>
  <c r="M25" i="22"/>
  <c r="M52" i="21"/>
  <c r="R25" i="21"/>
  <c r="Q25" i="21"/>
  <c r="S25" i="21"/>
  <c r="R55" i="21"/>
  <c r="Q55" i="21"/>
  <c r="S55" i="21"/>
  <c r="M49" i="22"/>
  <c r="R22" i="22"/>
  <c r="S22" i="22"/>
  <c r="Q22" i="22"/>
  <c r="M55" i="22"/>
  <c r="S28" i="22"/>
  <c r="R28" i="22"/>
  <c r="Q28" i="22"/>
  <c r="M30" i="22"/>
  <c r="M29" i="22"/>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S56" i="21" l="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R57" i="21" l="1"/>
  <c r="Q57" i="21"/>
  <c r="S57" i="21"/>
  <c r="R31" i="22"/>
  <c r="Q31" i="22"/>
  <c r="S31" i="22"/>
  <c r="S52" i="22"/>
  <c r="Q52" i="22"/>
  <c r="R52" i="22"/>
  <c r="S58" i="21"/>
  <c r="Q58" i="21"/>
  <c r="R58" i="21"/>
  <c r="Q56" i="22"/>
  <c r="S56" i="22"/>
  <c r="R56" i="22"/>
  <c r="M58" i="22"/>
  <c r="M57" i="22"/>
  <c r="J28" i="10"/>
  <c r="O28" i="10"/>
  <c r="N28" i="10"/>
  <c r="Q58" i="22" l="1"/>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<sst xmlns="http://schemas.openxmlformats.org/spreadsheetml/2006/main" count="504" uniqueCount="88">
  <si>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</si>
  <si>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</si>
  <si>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</si>
  <si>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</si>
  <si>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</si>
  <si>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</si>
  <si>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</si>
  <si>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</si>
  <si>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</si>
  <si>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</si>
  <si>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</si>
  <si>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</si>
  <si>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</si>
  <si>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</si>
  <si>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</si>
  <si>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</si>
  <si>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</si>
  <si>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</si>
  <si>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</si>
  <si>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</si>
  <si>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</si>
  <si>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</si>
  <si>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</si>
  <si>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</si>
  <si>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</si>
  <si>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</si>
  <si>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</si>
  <si>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</si>
  <si>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</si>
  <si>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</si>
  <si>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</si>
  <si>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</si>
  <si>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</si>
  <si>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</si>
  <si>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</si>
  <si>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</si>
  <si>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</si>
  <si>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</si>
  <si>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</si>
  <si>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</si>
  <si>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</si>
  <si>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</si>
  <si>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</si>
  <si>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</si>
  <si>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</si>
  <si>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</si>
  <si>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</si>
  <si>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</si>
  <si>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</si>
  <si>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</si>
  <si>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</si>
  <si>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</si>
  <si>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</si>
  <si>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</si>
  <si>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</si>
  <si>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</si>
  <si>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</si>
  <si>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</si>
  <si>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</si>
  <si>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</si>
  <si>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</si>
  <si>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</si>
  <si>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</si>
  <si>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</si>
  <si>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</si>
  <si>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</si>
  <si>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</si>
  <si>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</si>
  <si>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</si>
  <si>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</si>
  <si>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</si>
  <si>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</si>
  <si>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</si>
  <si>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</si>
  <si>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</si>
  <si>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</si>
  <si>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</si>
  <si>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</si>
  <si>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</si>
  <si>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</si>
  <si>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</si>
  <si>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</si>
  <si>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</si>
  <si>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Occupancy Ratios - 2022</t>
  </si>
  <si>
    <t>Volume-weighted Consolidated Cruise Occupancy Ratio</t>
  </si>
  <si>
    <t>See following sheets</t>
  </si>
  <si>
    <t>Note: Occupancy ratios will lag one month due to availability of data</t>
  </si>
  <si>
    <t>Monthly Cruise Occupany Ratio GPH for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</si>
</sst>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s>
  <fonts count="32">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16">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s>
  <cellStyleXfs count="9">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cellStyleXfs>
  <cellXfs count="109">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5" borderId="7" xfId="3" applyFont="1" applyBorder="1"/>
    <xf numFmtId="0" fontId="19" fillId="5"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6" borderId="8" xfId="6" applyFont="1" applyFill="1" applyBorder="1"/>
    <xf numFmtId="0" fontId="18" fillId="6" borderId="2" xfId="6" applyFont="1" applyFill="1"/>
    <xf numFmtId="0" fontId="23" fillId="6" borderId="4" xfId="6" applyFont="1" applyFill="1" applyBorder="1"/>
    <xf numFmtId="0" fontId="18" fillId="6" borderId="12" xfId="6" applyFont="1" applyFill="1" applyBorder="1"/>
    <xf numFmtId="0" fontId="18" fillId="6" borderId="10" xfId="6" applyFont="1" applyFill="1" applyBorder="1"/>
    <xf numFmtId="0" fontId="23" fillId="6"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0" fillId="0" borderId="0" xfId="0" applyAlignment="1">
      <alignment vertical="center"/>
    </xf>
    <xf numFmtId="0" fontId="20" fillId="6" borderId="7" xfId="0" applyFont="1" applyFill="1" applyBorder="1" applyAlignment="1">
      <alignment horizontal="center" vertical="center"/>
    </xf>
    <xf numFmtId="0" fontId="19" fillId="5" borderId="3" xfId="3" applyFont="1" applyBorder="1"/>
    <xf numFmtId="0" fontId="20" fillId="6" borderId="3" xfId="0" applyFont="1" applyFill="1" applyBorder="1" applyAlignment="1">
      <alignment horizontal="center" vertical="center" wrapText="1"/>
    </xf>
    <xf numFmtId="167" fontId="17" fillId="7" borderId="0" xfId="2" quotePrefix="1" applyNumberFormat="1" applyFont="1" applyFill="1"/>
    <xf numFmtId="0" fontId="18" fillId="6"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Alignment="1">
      <alignment horizontal="right" indent="1"/>
    </xf>
    <xf numFmtId="168" fontId="17" fillId="8" borderId="0" xfId="7" applyNumberFormat="1" applyFont="1" applyFill="1" applyBorder="1" applyAlignment="1" applyProtection="1"/>
    <xf numFmtId="168" fontId="17" fillId="3" borderId="0" xfId="7" applyNumberFormat="1" applyFont="1" applyFill="1" applyBorder="1" applyAlignment="1" applyProtection="1"/>
    <xf numFmtId="171" fontId="17" fillId="8" borderId="0" xfId="7" applyNumberFormat="1" applyFont="1" applyFill="1" applyBorder="1" applyAlignment="1" applyProtection="1"/>
    <xf numFmtId="170" fontId="17" fillId="8" borderId="0" xfId="7" applyNumberFormat="1" applyFont="1" applyFill="1" applyBorder="1" applyAlignment="1" applyProtection="1"/>
    <xf numFmtId="168" fontId="18" fillId="6" borderId="2" xfId="7" applyNumberFormat="1" applyFont="1" applyFill="1" applyBorder="1" applyAlignment="1" applyProtection="1">
      <alignment horizontal="right"/>
    </xf>
    <xf numFmtId="168" fontId="18" fillId="6" borderId="10" xfId="7" applyNumberFormat="1" applyFont="1" applyFill="1" applyBorder="1" applyAlignment="1" applyProtection="1">
      <alignment horizontal="right"/>
    </xf>
    <xf numFmtId="0" fontId="20" fillId="6" borderId="3" xfId="0" applyFont="1" applyFill="1" applyBorder="1" applyAlignment="1">
      <alignment horizontal="center" vertical="center"/>
    </xf>
    <xf numFmtId="3" fontId="17" fillId="8"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6" borderId="4" xfId="7" applyNumberFormat="1" applyFont="1" applyFill="1" applyBorder="1" applyAlignment="1" applyProtection="1">
      <alignment horizontal="right" indent="1"/>
    </xf>
    <xf numFmtId="168" fontId="18" fillId="6" borderId="11" xfId="7" applyNumberFormat="1" applyFont="1" applyFill="1" applyBorder="1" applyAlignment="1" applyProtection="1">
      <alignment horizontal="right" indent="1"/>
    </xf>
    <xf numFmtId="170" fontId="17" fillId="8" borderId="0" xfId="7" applyNumberFormat="1" applyFont="1" applyFill="1" applyBorder="1" applyAlignment="1" applyProtection="1">
      <alignment horizontal="right" indent="1"/>
    </xf>
    <xf numFmtId="0" fontId="25" fillId="3" borderId="0" xfId="0" applyFont="1" applyFill="1"/>
    <xf numFmtId="170" fontId="17" fillId="8"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8"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29" fillId="5" borderId="7" xfId="3" applyFont="1" applyBorder="1"/>
    <xf numFmtId="0" fontId="31" fillId="0" borderId="0" xfId="0" applyFont="1"/>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171" fontId="30" fillId="2" borderId="6" xfId="1" applyNumberFormat="1" applyFont="1" applyBorder="1" applyAlignment="1">
      <alignment horizontal="right"/>
    </xf>
    <xf numFmtId="9" fontId="29" fillId="5" borderId="7" xfId="8" applyFont="1" applyFill="1" applyBorder="1" applyAlignment="1" applyProtection="1">
      <alignment horizontal="right" vertical="center"/>
    </xf>
    <xf numFmtId="9" fontId="29" fillId="5" borderId="0" xfId="8" applyFont="1" applyFill="1" applyBorder="1" applyAlignment="1" applyProtection="1">
      <alignment horizontal="right" vertical="center"/>
    </xf>
    <xf numFmtId="0" fontId="19" fillId="5" borderId="0" xfId="3" applyFont="1" applyAlignment="1">
      <alignment horizontal="right"/>
    </xf>
    <xf numFmtId="0" fontId="0" fillId="0" borderId="0" xfId="0" applyAlignment="1">
      <alignment horizontal="right"/>
    </xf>
    <xf numFmtId="0" fontId="18" fillId="2" borderId="6"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9">
    <cellStyle name="Comma" xfId="7" builtinId="3"/>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3</xdr:row>
      <xdr:rowOff>31712</xdr:rowOff>
    </xdr:from>
    <xdr:to>
      <xdr:col>18</xdr:col>
      <xdr:colOff>0</xdr:colOff>
      <xdr:row>25</xdr:row>
      <xdr:rowOff>0</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849741"/>
          <a:ext cx="10436262" cy="4652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                                                               		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BPI		</a:t>
          </a:r>
          <a:r>
            <a:rPr kumimoji="0" lang="de-DE" sz="1000" b="0" i="0" u="none" strike="noStrike" kern="0" cap="none" spc="0" normalizeH="0" baseline="0" noProof="0">
              <a:ln>
                <a:noFill/>
              </a:ln>
              <a:solidFill>
                <a:prstClr val="black"/>
              </a:solidFill>
              <a:effectLst/>
              <a:uLnTx/>
              <a:uFillTx/>
              <a:latin typeface="+mn-lt"/>
              <a:ea typeface="+mn-ea"/>
              <a:cs typeface="+mn-cs"/>
            </a:rPr>
            <a:t>Cruise ports included: Creuers (Barcelona) and Malaga.</a:t>
          </a:r>
        </a:p>
        <a:p>
          <a:pPr marL="0" marR="0" indent="0" defTabSz="914400" rtl="0" eaLnBrk="1" fontAlgn="auto" latinLnBrk="0" hangingPunct="1">
            <a:lnSpc>
              <a:spcPct val="100000"/>
            </a:lnSpc>
            <a:spcBef>
              <a:spcPts val="600"/>
            </a:spcBef>
            <a:spcAft>
              <a:spcPts val="0"/>
            </a:spcAft>
            <a:buClrTx/>
            <a:buSzTx/>
            <a:buFontTx/>
            <a:buNone/>
            <a:tabLst/>
            <a:defRPr/>
          </a:pPr>
          <a:r>
            <a:rPr lang="de-DE" sz="1000" b="1" i="0" u="none" strike="noStrike">
              <a:solidFill>
                <a:schemeClr val="dk1"/>
              </a:solidFill>
              <a:effectLst/>
              <a:latin typeface="+mn-lt"/>
              <a:ea typeface="+mn-ea"/>
              <a:cs typeface="+mn-cs"/>
            </a:rPr>
            <a:t>Other Cruise</a:t>
          </a:r>
          <a:r>
            <a:rPr lang="de-DE" sz="1000" b="1" i="0" u="none" strike="noStrike" baseline="0">
              <a:solidFill>
                <a:schemeClr val="dk1"/>
              </a:solidFill>
              <a:effectLst/>
              <a:latin typeface="+mn-lt"/>
              <a:ea typeface="+mn-ea"/>
              <a:cs typeface="+mn-cs"/>
            </a:rPr>
            <a:t> 		</a:t>
          </a:r>
          <a:r>
            <a:rPr lang="de-DE" sz="1000">
              <a:solidFill>
                <a:schemeClr val="dk1"/>
              </a:solidFill>
              <a:effectLst/>
              <a:latin typeface="+mn-lt"/>
              <a:ea typeface="+mn-ea"/>
              <a:cs typeface="+mn-cs"/>
            </a:rPr>
            <a:t>Cruise ports included: Bodrum, Cagliari, Catania, Crotone (from Mar 2022),  Kalundborg (from Feb</a:t>
          </a:r>
          <a:r>
            <a:rPr lang="de-DE" sz="1000" baseline="0">
              <a:solidFill>
                <a:schemeClr val="dk1"/>
              </a:solidFill>
              <a:effectLst/>
              <a:latin typeface="+mn-lt"/>
              <a:ea typeface="+mn-ea"/>
              <a:cs typeface="+mn-cs"/>
            </a:rPr>
            <a:t> 2</a:t>
          </a:r>
          <a:r>
            <a:rPr lang="de-DE" sz="1000">
              <a:solidFill>
                <a:schemeClr val="dk1"/>
              </a:solidFill>
              <a:effectLst/>
              <a:latin typeface="+mn-lt"/>
              <a:ea typeface="+mn-ea"/>
              <a:cs typeface="+mn-cs"/>
            </a:rPr>
            <a:t>022),Ravenna</a:t>
          </a:r>
          <a:r>
            <a:rPr lang="de-DE" sz="1000" baseline="0">
              <a:solidFill>
                <a:schemeClr val="dk1"/>
              </a:solidFill>
              <a:effectLst/>
              <a:latin typeface="+mn-lt"/>
              <a:ea typeface="+mn-ea"/>
              <a:cs typeface="+mn-cs"/>
            </a:rPr>
            <a:t> (up until </a:t>
          </a:r>
          <a:r>
            <a:rPr lang="de-DE" sz="1000">
              <a:solidFill>
                <a:schemeClr val="dk1"/>
              </a:solidFill>
              <a:effectLst/>
              <a:latin typeface="+mn-lt"/>
              <a:ea typeface="+mn-ea"/>
              <a:cs typeface="+mn-cs"/>
            </a:rPr>
            <a:t>2022) ,Taranto (from 2021), 		Tarragona (from Apr 2022) and Zadar as well as cruise activity in Port of Adria.</a:t>
          </a: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18</xdr:col>
      <xdr:colOff>740261</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I18" sqref="I18"/>
    </sheetView>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v>44813</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44</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02" t="s">
        <v>45</v>
      </c>
      <c r="G6" s="102"/>
      <c r="H6" s="102"/>
      <c r="I6" s="102"/>
      <c r="J6" s="102"/>
      <c r="K6" s="102"/>
      <c r="L6" s="103"/>
      <c r="M6" s="104" t="s">
        <v>46</v>
      </c>
      <c r="N6" s="102"/>
      <c r="O6" s="102"/>
      <c r="P6" s="102"/>
      <c r="Q6" s="102"/>
      <c r="R6" s="102"/>
      <c r="S6" s="103"/>
      <c r="T6" s="104" t="s">
        <v>9</v>
      </c>
      <c r="U6" s="102"/>
      <c r="V6" s="102"/>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25</v>
      </c>
      <c r="G10" s="69">
        <v>0</v>
      </c>
      <c r="H10" s="69">
        <v>0</v>
      </c>
      <c r="I10" s="69">
        <v>27</v>
      </c>
      <c r="J10" s="65" t="str">
        <f t="shared" ref="J10:J28" si="0">IFERROR(F10/G10-1,"n/a")</f>
        <v>n/a</v>
      </c>
      <c r="K10" s="65" t="str">
        <f>IFERROR(F10/H10-1,"n/a")</f>
        <v>n/a</v>
      </c>
      <c r="L10" s="61">
        <f t="shared" ref="L10:L11" si="1">IFERROR(F10/I10-1,"n/a")</f>
        <v>-7.407407407407407E-2</v>
      </c>
      <c r="M10" s="69">
        <f>F10+'Mar-22'!M10</f>
        <v>222</v>
      </c>
      <c r="N10" s="69">
        <f>G10+'Mar-22'!N10</f>
        <v>0</v>
      </c>
      <c r="O10" s="69">
        <f>H10+'Mar-22'!O10</f>
        <v>145</v>
      </c>
      <c r="P10" s="69">
        <f>I10+'Mar-22'!P10</f>
        <v>227</v>
      </c>
      <c r="Q10" s="65" t="str">
        <f>IFERROR(M10/N10-1,"n/a")</f>
        <v>n/a</v>
      </c>
      <c r="R10" s="65">
        <f>IFERROR(M10/O10-1,"n/a")</f>
        <v>0.53103448275862064</v>
      </c>
      <c r="S10" s="61">
        <f>IFERROR(M10/P10-1,"n/a")</f>
        <v>-2.2026431718061623E-2</v>
      </c>
      <c r="T10" s="69">
        <v>111</v>
      </c>
      <c r="U10" s="71">
        <v>145</v>
      </c>
      <c r="V10" s="71">
        <v>386</v>
      </c>
    </row>
    <row r="11" spans="1:38">
      <c r="A11" s="10"/>
      <c r="B11" s="13"/>
      <c r="C11" s="34"/>
      <c r="D11" s="27" t="s">
        <v>11</v>
      </c>
      <c r="E11" s="33"/>
      <c r="F11" s="69">
        <v>30815</v>
      </c>
      <c r="G11" s="69">
        <v>0</v>
      </c>
      <c r="H11" s="69">
        <v>0</v>
      </c>
      <c r="I11" s="69">
        <v>46675</v>
      </c>
      <c r="J11" s="65" t="str">
        <f t="shared" si="0"/>
        <v>n/a</v>
      </c>
      <c r="K11" s="65" t="str">
        <f t="shared" ref="K11" si="2">IFERROR(F11/H11-1,"n/a")</f>
        <v>n/a</v>
      </c>
      <c r="L11" s="61">
        <f t="shared" si="1"/>
        <v>-0.33979646491697912</v>
      </c>
      <c r="M11" s="69">
        <f>F11+'Mar-22'!M11</f>
        <v>187143</v>
      </c>
      <c r="N11" s="69">
        <f>G11+'Mar-22'!N11</f>
        <v>0</v>
      </c>
      <c r="O11" s="69">
        <f>H11+'Mar-22'!O11</f>
        <v>258885</v>
      </c>
      <c r="P11" s="69">
        <f>I11+'Mar-22'!P11</f>
        <v>432055</v>
      </c>
      <c r="Q11" s="65" t="str">
        <f>IFERROR(M11/N11-1,"n/a")</f>
        <v>n/a</v>
      </c>
      <c r="R11" s="65">
        <f>IFERROR(M11/O11-1,"n/a")</f>
        <v>-0.27711918419375403</v>
      </c>
      <c r="S11" s="61">
        <f>IFERROR(M11/P11-1,"n/a")</f>
        <v>-0.56685375704482066</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96</v>
      </c>
      <c r="G13" s="69">
        <v>0</v>
      </c>
      <c r="H13" s="69">
        <v>0</v>
      </c>
      <c r="I13" s="69">
        <v>90</v>
      </c>
      <c r="J13" s="65" t="str">
        <f t="shared" si="0"/>
        <v>n/a</v>
      </c>
      <c r="K13" s="65" t="str">
        <f t="shared" ref="K13:K14" si="3">IFERROR(F13/H13-1,"n/a")</f>
        <v>n/a</v>
      </c>
      <c r="L13" s="61">
        <f t="shared" ref="L13:L14" si="4">IFERROR(F13/I13-1,"n/a")</f>
        <v>6.6666666666666652E-2</v>
      </c>
      <c r="M13" s="69">
        <f>F13+'Mar-22'!M13</f>
        <v>149</v>
      </c>
      <c r="N13" s="69">
        <f>G13+'Mar-22'!N13</f>
        <v>0</v>
      </c>
      <c r="O13" s="69">
        <f>H13+'Mar-22'!O13</f>
        <v>43</v>
      </c>
      <c r="P13" s="69">
        <f>I13+'Mar-22'!P13</f>
        <v>179</v>
      </c>
      <c r="Q13" s="65" t="str">
        <f t="shared" ref="Q13:Q14" si="5">IFERROR(M13/N13-1,"n/a")</f>
        <v>n/a</v>
      </c>
      <c r="R13" s="65">
        <f t="shared" ref="R13:R14" si="6">IFERROR(M13/O13-1,"n/a")</f>
        <v>2.4651162790697674</v>
      </c>
      <c r="S13" s="61">
        <f t="shared" ref="S13:S14" si="7">IFERROR(M13/P13-1,"n/a")</f>
        <v>-0.16759776536312854</v>
      </c>
      <c r="T13" s="69">
        <v>283</v>
      </c>
      <c r="U13" s="71">
        <v>43</v>
      </c>
      <c r="V13" s="71">
        <v>827</v>
      </c>
    </row>
    <row r="14" spans="1:38">
      <c r="A14" s="10"/>
      <c r="B14" s="13"/>
      <c r="C14" s="34"/>
      <c r="D14" s="27" t="s">
        <v>11</v>
      </c>
      <c r="E14" s="33"/>
      <c r="F14" s="69">
        <v>114892</v>
      </c>
      <c r="G14" s="69">
        <v>0</v>
      </c>
      <c r="H14" s="69">
        <v>0</v>
      </c>
      <c r="I14" s="69">
        <v>212740</v>
      </c>
      <c r="J14" s="65" t="str">
        <f t="shared" si="0"/>
        <v>n/a</v>
      </c>
      <c r="K14" s="65" t="str">
        <f t="shared" si="3"/>
        <v>n/a</v>
      </c>
      <c r="L14" s="61">
        <f t="shared" si="4"/>
        <v>-0.45994171288897245</v>
      </c>
      <c r="M14" s="69">
        <f>F14+'Mar-22'!M14</f>
        <v>183346</v>
      </c>
      <c r="N14" s="69">
        <f>G14+'Mar-22'!N14</f>
        <v>0</v>
      </c>
      <c r="O14" s="69">
        <f>H14+'Mar-22'!O14</f>
        <v>140552</v>
      </c>
      <c r="P14" s="69">
        <f>I14+'Mar-22'!P14</f>
        <v>464640</v>
      </c>
      <c r="Q14" s="65" t="str">
        <f t="shared" si="5"/>
        <v>n/a</v>
      </c>
      <c r="R14" s="65">
        <f t="shared" si="6"/>
        <v>0.30447094313848266</v>
      </c>
      <c r="S14" s="61">
        <f t="shared" si="7"/>
        <v>-0.60540203168044071</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26</v>
      </c>
      <c r="G16" s="69">
        <v>0</v>
      </c>
      <c r="H16" s="69">
        <v>0</v>
      </c>
      <c r="I16" s="69">
        <v>13</v>
      </c>
      <c r="J16" s="65" t="str">
        <f t="shared" si="0"/>
        <v>n/a</v>
      </c>
      <c r="K16" s="65" t="str">
        <f t="shared" ref="K16:K17" si="8">IFERROR(F16/H16-1,"n/a")</f>
        <v>n/a</v>
      </c>
      <c r="L16" s="61">
        <f>IFERROR(F16/I16-1,"n/a")</f>
        <v>1</v>
      </c>
      <c r="M16" s="69">
        <f>F16+'Mar-22'!M16</f>
        <v>36</v>
      </c>
      <c r="N16" s="69">
        <f>G16+'Mar-22'!N16</f>
        <v>0</v>
      </c>
      <c r="O16" s="69">
        <f>H16+'Mar-22'!O16</f>
        <v>3</v>
      </c>
      <c r="P16" s="69">
        <f>I16+'Mar-22'!P16</f>
        <v>19</v>
      </c>
      <c r="Q16" s="65" t="str">
        <f t="shared" ref="Q16:Q17" si="9">IFERROR(M16/N16-1,"n/a")</f>
        <v>n/a</v>
      </c>
      <c r="R16" s="65">
        <f t="shared" ref="R16:R17" si="10">IFERROR(M16/O16-1,"n/a")</f>
        <v>11</v>
      </c>
      <c r="S16" s="61">
        <f t="shared" ref="S16:S17" si="11">IFERROR(M16/P16-1,"n/a")</f>
        <v>0.89473684210526305</v>
      </c>
      <c r="T16" s="69">
        <v>23</v>
      </c>
      <c r="U16" s="71">
        <v>4</v>
      </c>
      <c r="V16" s="71">
        <v>191</v>
      </c>
    </row>
    <row r="17" spans="1:38">
      <c r="A17" s="10"/>
      <c r="B17" s="13"/>
      <c r="C17" s="34"/>
      <c r="D17" s="27" t="s">
        <v>11</v>
      </c>
      <c r="E17" s="33"/>
      <c r="F17" s="69">
        <v>20824</v>
      </c>
      <c r="G17" s="69">
        <v>0</v>
      </c>
      <c r="H17" s="69">
        <v>0</v>
      </c>
      <c r="I17" s="69">
        <v>14253</v>
      </c>
      <c r="J17" s="65" t="str">
        <f t="shared" si="0"/>
        <v>n/a</v>
      </c>
      <c r="K17" s="65" t="str">
        <f t="shared" si="8"/>
        <v>n/a</v>
      </c>
      <c r="L17" s="61">
        <f t="shared" ref="L17:L28" si="12">IFERROR(F17/I17-1,"n/a")</f>
        <v>0.46102574896513016</v>
      </c>
      <c r="M17" s="69">
        <f>F17+'Mar-22'!M17</f>
        <v>22296</v>
      </c>
      <c r="N17" s="69">
        <f>G17+'Mar-22'!N17</f>
        <v>0</v>
      </c>
      <c r="O17" s="69">
        <f>H17+'Mar-22'!O17</f>
        <v>1642</v>
      </c>
      <c r="P17" s="69">
        <f>I17+'Mar-22'!P17</f>
        <v>19391</v>
      </c>
      <c r="Q17" s="65" t="str">
        <f t="shared" si="9"/>
        <v>n/a</v>
      </c>
      <c r="R17" s="65">
        <f t="shared" si="10"/>
        <v>12.578562728380025</v>
      </c>
      <c r="S17" s="61">
        <f t="shared" si="11"/>
        <v>0.14981176834613996</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111</v>
      </c>
      <c r="G19" s="69">
        <v>0</v>
      </c>
      <c r="H19" s="69">
        <v>42</v>
      </c>
      <c r="I19" s="69">
        <v>102</v>
      </c>
      <c r="J19" s="65" t="str">
        <f t="shared" si="0"/>
        <v>n/a</v>
      </c>
      <c r="K19" s="65">
        <f t="shared" ref="K19:K20" si="13">IFERROR(F19/H19-1,"n/a")</f>
        <v>1.6428571428571428</v>
      </c>
      <c r="L19" s="61">
        <f t="shared" si="12"/>
        <v>8.8235294117646967E-2</v>
      </c>
      <c r="M19" s="69">
        <f>F19+'Mar-22'!M19</f>
        <v>444</v>
      </c>
      <c r="N19" s="69">
        <f>G19+'Mar-22'!N19</f>
        <v>0</v>
      </c>
      <c r="O19" s="69">
        <f>H19+'Mar-22'!O19</f>
        <v>406</v>
      </c>
      <c r="P19" s="69">
        <f>I19+'Mar-22'!P19</f>
        <v>418</v>
      </c>
      <c r="Q19" s="65" t="str">
        <f t="shared" ref="Q19:Q20" si="14">IFERROR(M19/N19-1,"n/a")</f>
        <v>n/a</v>
      </c>
      <c r="R19" s="65">
        <f t="shared" ref="R19:R20" si="15">IFERROR(M19/O19-1,"n/a")</f>
        <v>9.3596059113300489E-2</v>
      </c>
      <c r="S19" s="61">
        <f t="shared" ref="S19:S20" si="16">IFERROR(M19/P19-1,"n/a")</f>
        <v>6.2200956937799035E-2</v>
      </c>
      <c r="T19" s="69">
        <v>411</v>
      </c>
      <c r="U19" s="71">
        <v>406</v>
      </c>
      <c r="V19" s="71">
        <v>1205</v>
      </c>
    </row>
    <row r="20" spans="1:38">
      <c r="A20" s="10"/>
      <c r="B20" s="13"/>
      <c r="C20" s="34"/>
      <c r="D20" s="27" t="s">
        <v>11</v>
      </c>
      <c r="E20" s="33"/>
      <c r="F20" s="69">
        <v>266973</v>
      </c>
      <c r="G20" s="69">
        <v>0</v>
      </c>
      <c r="H20" s="69">
        <v>0</v>
      </c>
      <c r="I20" s="69">
        <v>347370</v>
      </c>
      <c r="J20" s="65" t="str">
        <f t="shared" si="0"/>
        <v>n/a</v>
      </c>
      <c r="K20" s="65" t="str">
        <f t="shared" si="13"/>
        <v>n/a</v>
      </c>
      <c r="L20" s="61">
        <f t="shared" si="12"/>
        <v>-0.23144485706883156</v>
      </c>
      <c r="M20" s="69">
        <f>F20+'Mar-22'!M20</f>
        <v>870303</v>
      </c>
      <c r="N20" s="69">
        <f>G20+'Mar-22'!N20</f>
        <v>0</v>
      </c>
      <c r="O20" s="69">
        <f>H20+'Mar-22'!O20</f>
        <v>833999</v>
      </c>
      <c r="P20" s="69">
        <f>I20+'Mar-22'!P20</f>
        <v>1413094</v>
      </c>
      <c r="Q20" s="65" t="str">
        <f t="shared" si="14"/>
        <v>n/a</v>
      </c>
      <c r="R20" s="65">
        <f t="shared" si="15"/>
        <v>4.353002821346319E-2</v>
      </c>
      <c r="S20" s="61">
        <f t="shared" si="16"/>
        <v>-0.38411528178592502</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22</v>
      </c>
      <c r="G22" s="69">
        <v>5</v>
      </c>
      <c r="H22" s="69">
        <v>0</v>
      </c>
      <c r="I22" s="69">
        <v>29</v>
      </c>
      <c r="J22" s="65">
        <f t="shared" si="0"/>
        <v>3.4000000000000004</v>
      </c>
      <c r="K22" s="65" t="str">
        <f t="shared" ref="K22:K23" si="17">IFERROR(F22/H22-1,"n/a")</f>
        <v>n/a</v>
      </c>
      <c r="L22" s="61">
        <f t="shared" si="12"/>
        <v>-0.24137931034482762</v>
      </c>
      <c r="M22" s="69">
        <f>F22+'Mar-22'!M22</f>
        <v>45</v>
      </c>
      <c r="N22" s="69">
        <f>G22+'Mar-22'!N22</f>
        <v>14</v>
      </c>
      <c r="O22" s="69">
        <f>H22+'Mar-22'!O22</f>
        <v>9</v>
      </c>
      <c r="P22" s="69">
        <f>I22+'Mar-22'!P22</f>
        <v>49</v>
      </c>
      <c r="Q22" s="65">
        <f t="shared" ref="Q22:Q23" si="18">IFERROR(M22/N22-1,"n/a")</f>
        <v>2.2142857142857144</v>
      </c>
      <c r="R22" s="65">
        <f t="shared" ref="R22:R23" si="19">IFERROR(M22/O22-1,"n/a")</f>
        <v>4</v>
      </c>
      <c r="S22" s="61">
        <f t="shared" ref="S22:S23" si="20">IFERROR(M22/P22-1,"n/a")</f>
        <v>-8.1632653061224469E-2</v>
      </c>
      <c r="T22" s="69">
        <v>107</v>
      </c>
      <c r="U22" s="71">
        <v>32</v>
      </c>
      <c r="V22" s="71">
        <v>372</v>
      </c>
    </row>
    <row r="23" spans="1:38">
      <c r="A23" s="10"/>
      <c r="B23" s="13"/>
      <c r="C23" s="34"/>
      <c r="D23" s="27" t="s">
        <v>11</v>
      </c>
      <c r="E23" s="33"/>
      <c r="F23" s="69">
        <v>30617</v>
      </c>
      <c r="G23" s="69">
        <v>6002</v>
      </c>
      <c r="H23" s="69">
        <v>0</v>
      </c>
      <c r="I23" s="69">
        <v>93826</v>
      </c>
      <c r="J23" s="65">
        <f t="shared" si="0"/>
        <v>4.1011329556814395</v>
      </c>
      <c r="K23" s="65" t="str">
        <f t="shared" si="17"/>
        <v>n/a</v>
      </c>
      <c r="L23" s="61">
        <f t="shared" si="12"/>
        <v>-0.6736832008185365</v>
      </c>
      <c r="M23" s="69">
        <f>F23+'Mar-22'!M23</f>
        <v>57138</v>
      </c>
      <c r="N23" s="69">
        <f>G23+'Mar-22'!N23</f>
        <v>13966</v>
      </c>
      <c r="O23" s="69">
        <f>H23+'Mar-22'!O23</f>
        <v>40221</v>
      </c>
      <c r="P23" s="69">
        <f>I23+'Mar-22'!P23</f>
        <v>170101</v>
      </c>
      <c r="Q23" s="65">
        <f t="shared" si="18"/>
        <v>3.0912215380209078</v>
      </c>
      <c r="R23" s="65">
        <f t="shared" si="19"/>
        <v>0.42060117848884904</v>
      </c>
      <c r="S23" s="61">
        <f t="shared" si="20"/>
        <v>-0.66409368551625203</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51</v>
      </c>
      <c r="G25" s="69">
        <v>2</v>
      </c>
      <c r="H25" s="69">
        <v>0</v>
      </c>
      <c r="I25" s="69">
        <v>31</v>
      </c>
      <c r="J25" s="65">
        <f t="shared" si="0"/>
        <v>24.5</v>
      </c>
      <c r="K25" s="65" t="str">
        <f t="shared" ref="K25:K28" si="21">IFERROR(F25/H25-1,"n/a")</f>
        <v>n/a</v>
      </c>
      <c r="L25" s="61">
        <f t="shared" si="12"/>
        <v>0.64516129032258074</v>
      </c>
      <c r="M25" s="69">
        <f>F25+'Mar-22'!M25</f>
        <v>67</v>
      </c>
      <c r="N25" s="69">
        <f>G25+'Mar-22'!N25</f>
        <v>5</v>
      </c>
      <c r="O25" s="69">
        <f>H25+'Mar-22'!O25</f>
        <v>1</v>
      </c>
      <c r="P25" s="69">
        <f>I25+'Mar-22'!P25</f>
        <v>35</v>
      </c>
      <c r="Q25" s="65">
        <f t="shared" ref="Q25:Q28" si="22">IFERROR(M25/N25-1,"n/a")</f>
        <v>12.4</v>
      </c>
      <c r="R25" s="65">
        <f t="shared" ref="R25:R28" si="23">IFERROR(M25/O25-1,"n/a")</f>
        <v>66</v>
      </c>
      <c r="S25" s="61">
        <f t="shared" ref="S25:S28" si="24">IFERROR(M25/P25-1,"n/a")</f>
        <v>0.91428571428571437</v>
      </c>
      <c r="T25" s="69">
        <v>124</v>
      </c>
      <c r="U25" s="71">
        <v>37</v>
      </c>
      <c r="V25" s="71">
        <f>282+81</f>
        <v>363</v>
      </c>
    </row>
    <row r="26" spans="1:38">
      <c r="A26" s="10"/>
      <c r="B26" s="13"/>
      <c r="C26" s="34"/>
      <c r="D26" s="27" t="s">
        <v>11</v>
      </c>
      <c r="E26" s="33"/>
      <c r="F26" s="69">
        <f>42314+1343</f>
        <v>43657</v>
      </c>
      <c r="G26" s="69">
        <v>0</v>
      </c>
      <c r="H26" s="69">
        <v>0</v>
      </c>
      <c r="I26" s="69">
        <v>76374</v>
      </c>
      <c r="J26" s="65" t="str">
        <f t="shared" si="0"/>
        <v>n/a</v>
      </c>
      <c r="K26" s="65" t="str">
        <f t="shared" si="21"/>
        <v>n/a</v>
      </c>
      <c r="L26" s="61">
        <f t="shared" si="12"/>
        <v>-0.42837876764343885</v>
      </c>
      <c r="M26" s="69">
        <f>F26+'Mar-22'!M26</f>
        <v>55257</v>
      </c>
      <c r="N26" s="69">
        <f>G26+'Mar-22'!N26</f>
        <v>2139</v>
      </c>
      <c r="O26" s="69">
        <f>H26+'Mar-22'!O26</f>
        <v>892</v>
      </c>
      <c r="P26" s="69">
        <f>I26+'Mar-22'!P26</f>
        <v>82483</v>
      </c>
      <c r="Q26" s="65">
        <f t="shared" si="22"/>
        <v>24.833099579242635</v>
      </c>
      <c r="R26" s="65">
        <f t="shared" si="23"/>
        <v>60.947309417040358</v>
      </c>
      <c r="S26" s="61">
        <f t="shared" si="24"/>
        <v>-0.3300801377253495</v>
      </c>
      <c r="T26" s="69">
        <v>165083</v>
      </c>
      <c r="U26" s="71">
        <f>20768+8294</f>
        <v>29062</v>
      </c>
      <c r="V26" s="71">
        <f>659951+168729+38484</f>
        <v>867164</v>
      </c>
    </row>
    <row r="27" spans="1:38" ht="15.75" thickBot="1">
      <c r="A27" s="10"/>
      <c r="B27" s="13"/>
      <c r="C27" s="36" t="s">
        <v>12</v>
      </c>
      <c r="D27" s="37"/>
      <c r="E27" s="38"/>
      <c r="F27" s="47">
        <f t="shared" ref="F27:I28" si="25">F10+F13+F16+F19+F22+F25</f>
        <v>331</v>
      </c>
      <c r="G27" s="47">
        <f t="shared" si="25"/>
        <v>7</v>
      </c>
      <c r="H27" s="47">
        <f t="shared" si="25"/>
        <v>42</v>
      </c>
      <c r="I27" s="47">
        <f t="shared" si="25"/>
        <v>292</v>
      </c>
      <c r="J27" s="67">
        <f t="shared" si="0"/>
        <v>46.285714285714285</v>
      </c>
      <c r="K27" s="67">
        <f t="shared" si="21"/>
        <v>6.8809523809523814</v>
      </c>
      <c r="L27" s="63">
        <f t="shared" si="12"/>
        <v>0.13356164383561642</v>
      </c>
      <c r="M27" s="47">
        <f t="shared" ref="M27:P28" si="26">M10+M13+M16+M19+M22+M25</f>
        <v>963</v>
      </c>
      <c r="N27" s="47">
        <f t="shared" si="26"/>
        <v>19</v>
      </c>
      <c r="O27" s="47">
        <f t="shared" si="26"/>
        <v>607</v>
      </c>
      <c r="P27" s="47">
        <f t="shared" si="26"/>
        <v>927</v>
      </c>
      <c r="Q27" s="67">
        <f t="shared" si="22"/>
        <v>49.684210526315788</v>
      </c>
      <c r="R27" s="67">
        <f t="shared" si="23"/>
        <v>0.58649093904448102</v>
      </c>
      <c r="S27" s="63">
        <f t="shared" si="24"/>
        <v>3.8834951456310662E-2</v>
      </c>
      <c r="T27" s="47">
        <f t="shared" ref="T27:V28" si="27">T10+T13+T16+T19+T22+T25</f>
        <v>1059</v>
      </c>
      <c r="U27" s="47">
        <f t="shared" si="27"/>
        <v>667</v>
      </c>
      <c r="V27" s="47">
        <f t="shared" si="27"/>
        <v>3344</v>
      </c>
    </row>
    <row r="28" spans="1:38" s="23" customFormat="1" ht="16.5" thickTop="1" thickBot="1">
      <c r="A28" s="10"/>
      <c r="B28" s="13"/>
      <c r="C28" s="39" t="s">
        <v>13</v>
      </c>
      <c r="D28" s="40"/>
      <c r="E28" s="41"/>
      <c r="F28" s="48">
        <f t="shared" si="25"/>
        <v>507778</v>
      </c>
      <c r="G28" s="48">
        <f t="shared" si="25"/>
        <v>6002</v>
      </c>
      <c r="H28" s="48">
        <f t="shared" si="25"/>
        <v>0</v>
      </c>
      <c r="I28" s="48">
        <f t="shared" si="25"/>
        <v>791238</v>
      </c>
      <c r="J28" s="68">
        <f t="shared" si="0"/>
        <v>83.601466177940679</v>
      </c>
      <c r="K28" s="68" t="str">
        <f t="shared" si="21"/>
        <v>n/a</v>
      </c>
      <c r="L28" s="64">
        <f t="shared" si="12"/>
        <v>-0.35824871909589784</v>
      </c>
      <c r="M28" s="48">
        <f t="shared" si="26"/>
        <v>1375483</v>
      </c>
      <c r="N28" s="48">
        <f t="shared" si="26"/>
        <v>16105</v>
      </c>
      <c r="O28" s="48">
        <f t="shared" si="26"/>
        <v>1276191</v>
      </c>
      <c r="P28" s="48">
        <f t="shared" si="26"/>
        <v>2581764</v>
      </c>
      <c r="Q28" s="68">
        <f t="shared" si="22"/>
        <v>84.407202732070786</v>
      </c>
      <c r="R28" s="68">
        <f t="shared" si="23"/>
        <v>7.7803400901589104E-2</v>
      </c>
      <c r="S28" s="64">
        <f t="shared" si="24"/>
        <v>-0.46723131936149087</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42</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02" t="s">
        <v>41</v>
      </c>
      <c r="G6" s="102"/>
      <c r="H6" s="102"/>
      <c r="I6" s="102"/>
      <c r="J6" s="102"/>
      <c r="K6" s="102"/>
      <c r="L6" s="103"/>
      <c r="M6" s="104" t="s">
        <v>43</v>
      </c>
      <c r="N6" s="102"/>
      <c r="O6" s="102"/>
      <c r="P6" s="102"/>
      <c r="Q6" s="102"/>
      <c r="R6" s="102"/>
      <c r="S6" s="103"/>
      <c r="T6" s="104" t="s">
        <v>9</v>
      </c>
      <c r="U6" s="102"/>
      <c r="V6" s="102"/>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74</v>
      </c>
      <c r="G10" s="69">
        <v>0</v>
      </c>
      <c r="H10" s="69">
        <v>29</v>
      </c>
      <c r="I10" s="69">
        <v>62</v>
      </c>
      <c r="J10" s="65" t="str">
        <f t="shared" ref="J10:J28" si="0">IFERROR(F10/G10-1,"n/a")</f>
        <v>n/a</v>
      </c>
      <c r="K10" s="65">
        <f>IFERROR(F10/H10-1,"n/a")</f>
        <v>1.5517241379310347</v>
      </c>
      <c r="L10" s="61">
        <f t="shared" ref="L10:L11" si="1">IFERROR(F10/I10-1,"n/a")</f>
        <v>0.19354838709677424</v>
      </c>
      <c r="M10" s="69">
        <v>197</v>
      </c>
      <c r="N10" s="69">
        <v>0</v>
      </c>
      <c r="O10" s="69">
        <v>145</v>
      </c>
      <c r="P10" s="69">
        <v>200</v>
      </c>
      <c r="Q10" s="65" t="str">
        <f>IFERROR(M10/N10-1,"n/a")</f>
        <v>n/a</v>
      </c>
      <c r="R10" s="65">
        <f>IFERROR(M10/O10-1,"n/a")</f>
        <v>0.35862068965517246</v>
      </c>
      <c r="S10" s="61">
        <f>IFERROR(M10/P10-1,"n/a")</f>
        <v>-1.5000000000000013E-2</v>
      </c>
      <c r="T10" s="69">
        <v>111</v>
      </c>
      <c r="U10" s="71">
        <v>145</v>
      </c>
      <c r="V10" s="71">
        <v>386</v>
      </c>
    </row>
    <row r="11" spans="1:38">
      <c r="A11" s="10"/>
      <c r="B11" s="13"/>
      <c r="C11" s="34"/>
      <c r="D11" s="27" t="s">
        <v>11</v>
      </c>
      <c r="E11" s="33"/>
      <c r="F11" s="69">
        <v>60824</v>
      </c>
      <c r="G11" s="69">
        <v>0</v>
      </c>
      <c r="H11" s="69">
        <v>48626</v>
      </c>
      <c r="I11" s="69">
        <v>108846</v>
      </c>
      <c r="J11" s="65" t="str">
        <f t="shared" si="0"/>
        <v>n/a</v>
      </c>
      <c r="K11" s="65">
        <f t="shared" ref="K11" si="2">IFERROR(F11/H11-1,"n/a")</f>
        <v>0.25085345288528771</v>
      </c>
      <c r="L11" s="61">
        <f t="shared" si="1"/>
        <v>-0.44119214302776399</v>
      </c>
      <c r="M11" s="69">
        <v>156328</v>
      </c>
      <c r="N11" s="69">
        <v>0</v>
      </c>
      <c r="O11" s="69">
        <v>258885</v>
      </c>
      <c r="P11" s="69">
        <v>385380</v>
      </c>
      <c r="Q11" s="65" t="str">
        <f>IFERROR(M11/N11-1,"n/a")</f>
        <v>n/a</v>
      </c>
      <c r="R11" s="65">
        <f>IFERROR(M11/O11-1,"n/a")</f>
        <v>-0.39614886918902215</v>
      </c>
      <c r="S11" s="61">
        <f>IFERROR(M11/P11-1,"n/a")</f>
        <v>-0.59435362499351285</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24</v>
      </c>
      <c r="G13" s="69">
        <v>0</v>
      </c>
      <c r="H13" s="69">
        <v>10</v>
      </c>
      <c r="I13" s="69">
        <v>44</v>
      </c>
      <c r="J13" s="65" t="str">
        <f t="shared" si="0"/>
        <v>n/a</v>
      </c>
      <c r="K13" s="65">
        <f t="shared" ref="K13:K14" si="3">IFERROR(F13/H13-1,"n/a")</f>
        <v>1.4</v>
      </c>
      <c r="L13" s="61">
        <f t="shared" ref="L13:L14" si="4">IFERROR(F13/I13-1,"n/a")</f>
        <v>-0.45454545454545459</v>
      </c>
      <c r="M13" s="69">
        <v>53</v>
      </c>
      <c r="N13" s="69">
        <v>0</v>
      </c>
      <c r="O13" s="69">
        <v>43</v>
      </c>
      <c r="P13" s="69">
        <v>89</v>
      </c>
      <c r="Q13" s="65" t="str">
        <f t="shared" ref="Q13:Q14" si="5">IFERROR(M13/N13-1,"n/a")</f>
        <v>n/a</v>
      </c>
      <c r="R13" s="65">
        <f t="shared" ref="R13:R14" si="6">IFERROR(M13/O13-1,"n/a")</f>
        <v>0.23255813953488369</v>
      </c>
      <c r="S13" s="61">
        <f t="shared" ref="S13:S14" si="7">IFERROR(M13/P13-1,"n/a")</f>
        <v>-0.4044943820224719</v>
      </c>
      <c r="T13" s="69">
        <v>283</v>
      </c>
      <c r="U13" s="71">
        <v>43</v>
      </c>
      <c r="V13" s="71">
        <v>827</v>
      </c>
    </row>
    <row r="14" spans="1:38">
      <c r="A14" s="10"/>
      <c r="B14" s="13"/>
      <c r="C14" s="34"/>
      <c r="D14" s="27" t="s">
        <v>11</v>
      </c>
      <c r="E14" s="33"/>
      <c r="F14" s="69">
        <v>32594</v>
      </c>
      <c r="G14" s="69">
        <v>0</v>
      </c>
      <c r="H14" s="69">
        <v>28535</v>
      </c>
      <c r="I14" s="69">
        <v>117674</v>
      </c>
      <c r="J14" s="65" t="str">
        <f t="shared" si="0"/>
        <v>n/a</v>
      </c>
      <c r="K14" s="65">
        <f t="shared" si="3"/>
        <v>0.14224636411424574</v>
      </c>
      <c r="L14" s="61">
        <f t="shared" si="4"/>
        <v>-0.7230144296955997</v>
      </c>
      <c r="M14" s="69">
        <v>68454</v>
      </c>
      <c r="N14" s="69">
        <v>0</v>
      </c>
      <c r="O14" s="69">
        <v>140552</v>
      </c>
      <c r="P14" s="69">
        <v>251900</v>
      </c>
      <c r="Q14" s="65" t="str">
        <f t="shared" si="5"/>
        <v>n/a</v>
      </c>
      <c r="R14" s="65">
        <f t="shared" si="6"/>
        <v>-0.51296317377198475</v>
      </c>
      <c r="S14" s="61">
        <f t="shared" si="7"/>
        <v>-0.72824930527987297</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5</v>
      </c>
      <c r="G16" s="69">
        <v>0</v>
      </c>
      <c r="H16" s="69">
        <v>2</v>
      </c>
      <c r="I16" s="69">
        <v>5</v>
      </c>
      <c r="J16" s="65" t="str">
        <f t="shared" si="0"/>
        <v>n/a</v>
      </c>
      <c r="K16" s="65">
        <f t="shared" ref="K16:K17" si="8">IFERROR(F16/H16-1,"n/a")</f>
        <v>1.5</v>
      </c>
      <c r="L16" s="61">
        <f>IFERROR(F16/I16-1,"n/a")</f>
        <v>0</v>
      </c>
      <c r="M16" s="69">
        <v>10</v>
      </c>
      <c r="N16" s="69">
        <v>0</v>
      </c>
      <c r="O16" s="69">
        <v>3</v>
      </c>
      <c r="P16" s="69">
        <v>6</v>
      </c>
      <c r="Q16" s="65" t="str">
        <f t="shared" ref="Q16:Q17" si="9">IFERROR(M16/N16-1,"n/a")</f>
        <v>n/a</v>
      </c>
      <c r="R16" s="65">
        <f t="shared" ref="R16:R17" si="10">IFERROR(M16/O16-1,"n/a")</f>
        <v>2.3333333333333335</v>
      </c>
      <c r="S16" s="61">
        <f t="shared" ref="S16:S17" si="11">IFERROR(M16/P16-1,"n/a")</f>
        <v>0.66666666666666674</v>
      </c>
      <c r="T16" s="69">
        <v>23</v>
      </c>
      <c r="U16" s="71">
        <v>4</v>
      </c>
      <c r="V16" s="71">
        <v>191</v>
      </c>
    </row>
    <row r="17" spans="1:38">
      <c r="A17" s="10"/>
      <c r="B17" s="13"/>
      <c r="C17" s="34"/>
      <c r="D17" s="27" t="s">
        <v>11</v>
      </c>
      <c r="E17" s="33"/>
      <c r="F17" s="69">
        <v>364</v>
      </c>
      <c r="G17" s="69">
        <v>0</v>
      </c>
      <c r="H17" s="69">
        <v>819</v>
      </c>
      <c r="I17" s="69">
        <v>4555</v>
      </c>
      <c r="J17" s="65" t="str">
        <f t="shared" si="0"/>
        <v>n/a</v>
      </c>
      <c r="K17" s="65">
        <f t="shared" si="8"/>
        <v>-0.55555555555555558</v>
      </c>
      <c r="L17" s="61">
        <f t="shared" ref="L17:L28" si="12">IFERROR(F17/I17-1,"n/a")</f>
        <v>-0.92008781558726671</v>
      </c>
      <c r="M17" s="69">
        <v>1472</v>
      </c>
      <c r="N17" s="69">
        <v>0</v>
      </c>
      <c r="O17" s="69">
        <v>1642</v>
      </c>
      <c r="P17" s="69">
        <v>5138</v>
      </c>
      <c r="Q17" s="65" t="str">
        <f t="shared" si="9"/>
        <v>n/a</v>
      </c>
      <c r="R17" s="65">
        <f t="shared" si="10"/>
        <v>-0.10353227771010964</v>
      </c>
      <c r="S17" s="61">
        <f t="shared" si="11"/>
        <v>-0.71350720124562084</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130</v>
      </c>
      <c r="G19" s="69">
        <v>0</v>
      </c>
      <c r="H19" s="69">
        <v>118</v>
      </c>
      <c r="I19" s="69">
        <v>108</v>
      </c>
      <c r="J19" s="65" t="str">
        <f t="shared" si="0"/>
        <v>n/a</v>
      </c>
      <c r="K19" s="65">
        <f t="shared" ref="K19:K20" si="13">IFERROR(F19/H19-1,"n/a")</f>
        <v>0.10169491525423724</v>
      </c>
      <c r="L19" s="61">
        <f t="shared" si="12"/>
        <v>0.20370370370370372</v>
      </c>
      <c r="M19" s="69">
        <v>333</v>
      </c>
      <c r="N19" s="69">
        <v>0</v>
      </c>
      <c r="O19" s="69">
        <v>364</v>
      </c>
      <c r="P19" s="69">
        <v>316</v>
      </c>
      <c r="Q19" s="65" t="str">
        <f t="shared" ref="Q19:Q20" si="14">IFERROR(M19/N19-1,"n/a")</f>
        <v>n/a</v>
      </c>
      <c r="R19" s="65">
        <f t="shared" ref="R19:R20" si="15">IFERROR(M19/O19-1,"n/a")</f>
        <v>-8.5164835164835195E-2</v>
      </c>
      <c r="S19" s="61">
        <f t="shared" ref="S19:S20" si="16">IFERROR(M19/P19-1,"n/a")</f>
        <v>5.3797468354430444E-2</v>
      </c>
      <c r="T19" s="69">
        <v>411</v>
      </c>
      <c r="U19" s="71">
        <v>406</v>
      </c>
      <c r="V19" s="71">
        <v>1205</v>
      </c>
    </row>
    <row r="20" spans="1:38">
      <c r="A20" s="10"/>
      <c r="B20" s="13"/>
      <c r="C20" s="34"/>
      <c r="D20" s="27" t="s">
        <v>11</v>
      </c>
      <c r="E20" s="33"/>
      <c r="F20" s="69">
        <v>283677</v>
      </c>
      <c r="G20" s="69">
        <v>0</v>
      </c>
      <c r="H20" s="69">
        <v>147660</v>
      </c>
      <c r="I20" s="69">
        <v>391750</v>
      </c>
      <c r="J20" s="65" t="str">
        <f t="shared" si="0"/>
        <v>n/a</v>
      </c>
      <c r="K20" s="65">
        <f t="shared" si="13"/>
        <v>0.92114993904916709</v>
      </c>
      <c r="L20" s="61">
        <f t="shared" si="12"/>
        <v>-0.27587236758136569</v>
      </c>
      <c r="M20" s="69">
        <v>603330</v>
      </c>
      <c r="N20" s="69">
        <v>0</v>
      </c>
      <c r="O20" s="69">
        <v>833999</v>
      </c>
      <c r="P20" s="69">
        <v>1065724</v>
      </c>
      <c r="Q20" s="65" t="str">
        <f t="shared" si="14"/>
        <v>n/a</v>
      </c>
      <c r="R20" s="65">
        <f t="shared" si="15"/>
        <v>-0.27658186640511562</v>
      </c>
      <c r="S20" s="61">
        <f t="shared" si="16"/>
        <v>-0.43387781451858076</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14</v>
      </c>
      <c r="G22" s="69">
        <v>4</v>
      </c>
      <c r="H22" s="69">
        <v>1</v>
      </c>
      <c r="I22" s="69">
        <v>9</v>
      </c>
      <c r="J22" s="65">
        <f t="shared" si="0"/>
        <v>2.5</v>
      </c>
      <c r="K22" s="65">
        <f t="shared" ref="K22:K23" si="17">IFERROR(F22/H22-1,"n/a")</f>
        <v>13</v>
      </c>
      <c r="L22" s="61">
        <f t="shared" si="12"/>
        <v>0.55555555555555558</v>
      </c>
      <c r="M22" s="69">
        <v>23</v>
      </c>
      <c r="N22" s="69">
        <v>9</v>
      </c>
      <c r="O22" s="69">
        <v>9</v>
      </c>
      <c r="P22" s="69">
        <v>20</v>
      </c>
      <c r="Q22" s="65">
        <f t="shared" ref="Q22:Q23" si="18">IFERROR(M22/N22-1,"n/a")</f>
        <v>1.5555555555555554</v>
      </c>
      <c r="R22" s="65">
        <f t="shared" ref="R22:R23" si="19">IFERROR(M22/O22-1,"n/a")</f>
        <v>1.5555555555555554</v>
      </c>
      <c r="S22" s="61">
        <f t="shared" ref="S22:S23" si="20">IFERROR(M22/P22-1,"n/a")</f>
        <v>0.14999999999999991</v>
      </c>
      <c r="T22" s="69">
        <v>107</v>
      </c>
      <c r="U22" s="71">
        <v>32</v>
      </c>
      <c r="V22" s="71">
        <v>372</v>
      </c>
    </row>
    <row r="23" spans="1:38">
      <c r="A23" s="10"/>
      <c r="B23" s="13"/>
      <c r="C23" s="34"/>
      <c r="D23" s="27" t="s">
        <v>11</v>
      </c>
      <c r="E23" s="33"/>
      <c r="F23" s="69">
        <v>19157</v>
      </c>
      <c r="G23" s="69">
        <v>3290</v>
      </c>
      <c r="H23" s="69">
        <v>565</v>
      </c>
      <c r="I23" s="69">
        <v>31670</v>
      </c>
      <c r="J23" s="65">
        <f t="shared" si="0"/>
        <v>4.8227963525835866</v>
      </c>
      <c r="K23" s="65">
        <f t="shared" si="17"/>
        <v>32.906194690265487</v>
      </c>
      <c r="L23" s="61">
        <f t="shared" si="12"/>
        <v>-0.39510577833912219</v>
      </c>
      <c r="M23" s="69">
        <v>26521</v>
      </c>
      <c r="N23" s="69">
        <v>7964</v>
      </c>
      <c r="O23" s="69">
        <v>40221</v>
      </c>
      <c r="P23" s="69">
        <v>76275</v>
      </c>
      <c r="Q23" s="65">
        <f t="shared" si="18"/>
        <v>2.3301104972375692</v>
      </c>
      <c r="R23" s="65">
        <f t="shared" si="19"/>
        <v>-0.34061808507993341</v>
      </c>
      <c r="S23" s="61">
        <f t="shared" si="20"/>
        <v>-0.65229760734185516</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14</v>
      </c>
      <c r="G25" s="69">
        <v>1</v>
      </c>
      <c r="H25" s="69">
        <v>0</v>
      </c>
      <c r="I25" s="69">
        <v>1</v>
      </c>
      <c r="J25" s="65">
        <f t="shared" si="0"/>
        <v>13</v>
      </c>
      <c r="K25" s="65" t="str">
        <f t="shared" ref="K25:K28" si="21">IFERROR(F25/H25-1,"n/a")</f>
        <v>n/a</v>
      </c>
      <c r="L25" s="61">
        <f t="shared" si="12"/>
        <v>13</v>
      </c>
      <c r="M25" s="69">
        <v>16</v>
      </c>
      <c r="N25" s="69">
        <v>3</v>
      </c>
      <c r="O25" s="69">
        <v>1</v>
      </c>
      <c r="P25" s="69">
        <v>4</v>
      </c>
      <c r="Q25" s="65">
        <f t="shared" ref="Q25:Q28" si="22">IFERROR(M25/N25-1,"n/a")</f>
        <v>4.333333333333333</v>
      </c>
      <c r="R25" s="65">
        <f t="shared" ref="R25:R28" si="23">IFERROR(M25/O25-1,"n/a")</f>
        <v>15</v>
      </c>
      <c r="S25" s="61">
        <f t="shared" ref="S25:S28" si="24">IFERROR(M25/P25-1,"n/a")</f>
        <v>3</v>
      </c>
      <c r="T25" s="69">
        <v>124</v>
      </c>
      <c r="U25" s="71">
        <v>37</v>
      </c>
      <c r="V25" s="71">
        <f>282+81</f>
        <v>363</v>
      </c>
    </row>
    <row r="26" spans="1:38">
      <c r="A26" s="10"/>
      <c r="B26" s="13"/>
      <c r="C26" s="34"/>
      <c r="D26" s="27" t="s">
        <v>11</v>
      </c>
      <c r="E26" s="33"/>
      <c r="F26" s="69">
        <f>8889+728</f>
        <v>9617</v>
      </c>
      <c r="G26" s="69">
        <v>856</v>
      </c>
      <c r="H26" s="69">
        <v>0</v>
      </c>
      <c r="I26" s="69">
        <v>1452</v>
      </c>
      <c r="J26" s="65">
        <f t="shared" si="0"/>
        <v>10.234813084112149</v>
      </c>
      <c r="K26" s="65" t="str">
        <f t="shared" si="21"/>
        <v>n/a</v>
      </c>
      <c r="L26" s="61">
        <f t="shared" si="12"/>
        <v>5.6232782369146008</v>
      </c>
      <c r="M26" s="69">
        <f>10872+728</f>
        <v>11600</v>
      </c>
      <c r="N26" s="69">
        <v>2139</v>
      </c>
      <c r="O26" s="69">
        <v>892</v>
      </c>
      <c r="P26" s="69">
        <v>6109</v>
      </c>
      <c r="Q26" s="65">
        <f t="shared" si="22"/>
        <v>4.4230949041608225</v>
      </c>
      <c r="R26" s="65">
        <f t="shared" si="23"/>
        <v>12.004484304932735</v>
      </c>
      <c r="S26" s="61">
        <f t="shared" si="24"/>
        <v>0.89883778032411188</v>
      </c>
      <c r="T26" s="69">
        <v>165083</v>
      </c>
      <c r="U26" s="71">
        <f>20768+8294</f>
        <v>29062</v>
      </c>
      <c r="V26" s="71">
        <f>659951+168729+38484</f>
        <v>867164</v>
      </c>
    </row>
    <row r="27" spans="1:38" ht="15.75" thickBot="1">
      <c r="A27" s="10"/>
      <c r="B27" s="13"/>
      <c r="C27" s="36" t="s">
        <v>12</v>
      </c>
      <c r="D27" s="37"/>
      <c r="E27" s="38"/>
      <c r="F27" s="47">
        <f t="shared" ref="F27:I28" si="25">F10+F13+F16+F19+F22+F25</f>
        <v>261</v>
      </c>
      <c r="G27" s="47">
        <f t="shared" si="25"/>
        <v>5</v>
      </c>
      <c r="H27" s="47">
        <f t="shared" si="25"/>
        <v>160</v>
      </c>
      <c r="I27" s="47">
        <f t="shared" si="25"/>
        <v>229</v>
      </c>
      <c r="J27" s="67">
        <f t="shared" si="0"/>
        <v>51.2</v>
      </c>
      <c r="K27" s="67">
        <f t="shared" si="21"/>
        <v>0.63125000000000009</v>
      </c>
      <c r="L27" s="63">
        <f t="shared" si="12"/>
        <v>0.13973799126637565</v>
      </c>
      <c r="M27" s="47">
        <f t="shared" ref="M27:P28" si="26">M10+M13+M16+M19+M22+M25</f>
        <v>632</v>
      </c>
      <c r="N27" s="47">
        <f t="shared" si="26"/>
        <v>12</v>
      </c>
      <c r="O27" s="47">
        <f t="shared" si="26"/>
        <v>565</v>
      </c>
      <c r="P27" s="47">
        <f t="shared" si="26"/>
        <v>635</v>
      </c>
      <c r="Q27" s="67">
        <f t="shared" si="22"/>
        <v>51.666666666666664</v>
      </c>
      <c r="R27" s="67">
        <f t="shared" si="23"/>
        <v>0.11858407079646027</v>
      </c>
      <c r="S27" s="63">
        <f t="shared" si="24"/>
        <v>-4.7244094488189115E-3</v>
      </c>
      <c r="T27" s="47">
        <f t="shared" ref="T27:V28" si="27">T10+T13+T16+T19+T22+T25</f>
        <v>1059</v>
      </c>
      <c r="U27" s="47">
        <f t="shared" si="27"/>
        <v>667</v>
      </c>
      <c r="V27" s="47">
        <f t="shared" si="27"/>
        <v>3344</v>
      </c>
    </row>
    <row r="28" spans="1:38" s="23" customFormat="1" ht="16.5" thickTop="1" thickBot="1">
      <c r="A28" s="10"/>
      <c r="B28" s="13"/>
      <c r="C28" s="39" t="s">
        <v>13</v>
      </c>
      <c r="D28" s="40"/>
      <c r="E28" s="41"/>
      <c r="F28" s="48">
        <f t="shared" si="25"/>
        <v>406233</v>
      </c>
      <c r="G28" s="48">
        <f t="shared" si="25"/>
        <v>4146</v>
      </c>
      <c r="H28" s="48">
        <f t="shared" si="25"/>
        <v>226205</v>
      </c>
      <c r="I28" s="48">
        <f t="shared" si="25"/>
        <v>655947</v>
      </c>
      <c r="J28" s="68">
        <f t="shared" si="0"/>
        <v>96.981910274963823</v>
      </c>
      <c r="K28" s="68">
        <f t="shared" si="21"/>
        <v>0.79586216042969871</v>
      </c>
      <c r="L28" s="64">
        <f t="shared" si="12"/>
        <v>-0.38069234252157569</v>
      </c>
      <c r="M28" s="48">
        <f t="shared" si="26"/>
        <v>867705</v>
      </c>
      <c r="N28" s="48">
        <f t="shared" si="26"/>
        <v>10103</v>
      </c>
      <c r="O28" s="48">
        <f t="shared" si="26"/>
        <v>1276191</v>
      </c>
      <c r="P28" s="48">
        <f t="shared" si="26"/>
        <v>1790526</v>
      </c>
      <c r="Q28" s="68">
        <f t="shared" si="22"/>
        <v>84.88587548252994</v>
      </c>
      <c r="R28" s="68">
        <f t="shared" si="23"/>
        <v>-0.32008218205582084</v>
      </c>
      <c r="S28" s="64">
        <f t="shared" si="24"/>
        <v>-0.51539100800546878</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1.28515625" bestFit="1" customWidth="1"/>
    <col min="9" max="9" width="10.57031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40</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02" t="s">
        <v>39</v>
      </c>
      <c r="G6" s="102"/>
      <c r="H6" s="102"/>
      <c r="I6" s="102"/>
      <c r="J6" s="102"/>
      <c r="K6" s="102"/>
      <c r="L6" s="103"/>
      <c r="M6" s="104" t="s">
        <v>38</v>
      </c>
      <c r="N6" s="102"/>
      <c r="O6" s="102"/>
      <c r="P6" s="102"/>
      <c r="Q6" s="102"/>
      <c r="R6" s="102"/>
      <c r="S6" s="103"/>
      <c r="T6" s="104" t="s">
        <v>9</v>
      </c>
      <c r="U6" s="102"/>
      <c r="V6" s="102"/>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59</v>
      </c>
      <c r="G10" s="69">
        <v>0</v>
      </c>
      <c r="H10" s="69">
        <v>55</v>
      </c>
      <c r="I10" s="69">
        <v>62</v>
      </c>
      <c r="J10" s="65" t="str">
        <f t="shared" ref="J10:J28" si="0">IFERROR(F10/G10-1,"n/a")</f>
        <v>n/a</v>
      </c>
      <c r="K10" s="65">
        <f>IFERROR(F10/H10-1,"n/a")</f>
        <v>7.2727272727272751E-2</v>
      </c>
      <c r="L10" s="61">
        <f t="shared" ref="L10:L11" si="1">IFERROR(F10/I10-1,"n/a")</f>
        <v>-4.8387096774193505E-2</v>
      </c>
      <c r="M10" s="69">
        <v>123</v>
      </c>
      <c r="N10" s="69">
        <v>0</v>
      </c>
      <c r="O10" s="69">
        <v>116</v>
      </c>
      <c r="P10" s="69">
        <v>138</v>
      </c>
      <c r="Q10" s="65" t="str">
        <f>IFERROR(M10/N10-1,"n/a")</f>
        <v>n/a</v>
      </c>
      <c r="R10" s="65">
        <f>IFERROR(M10/O10-1,"n/a")</f>
        <v>6.0344827586206851E-2</v>
      </c>
      <c r="S10" s="61">
        <f>IFERROR(M10/P10-1,"n/a")</f>
        <v>-0.10869565217391308</v>
      </c>
      <c r="T10" s="69">
        <v>111</v>
      </c>
      <c r="U10" s="71">
        <v>145</v>
      </c>
      <c r="V10" s="71">
        <v>386</v>
      </c>
    </row>
    <row r="11" spans="1:38">
      <c r="A11" s="10"/>
      <c r="B11" s="13"/>
      <c r="C11" s="34"/>
      <c r="D11" s="27" t="s">
        <v>11</v>
      </c>
      <c r="E11" s="33"/>
      <c r="F11" s="69">
        <v>44710</v>
      </c>
      <c r="G11" s="69">
        <v>0</v>
      </c>
      <c r="H11" s="69">
        <v>101463</v>
      </c>
      <c r="I11" s="69">
        <v>119668</v>
      </c>
      <c r="J11" s="65" t="str">
        <f t="shared" si="0"/>
        <v>n/a</v>
      </c>
      <c r="K11" s="65">
        <f t="shared" ref="K11" si="2">IFERROR(F11/H11-1,"n/a")</f>
        <v>-0.55934675694588176</v>
      </c>
      <c r="L11" s="61">
        <f t="shared" si="1"/>
        <v>-0.62638299294715383</v>
      </c>
      <c r="M11" s="69">
        <v>95504</v>
      </c>
      <c r="N11" s="69">
        <v>0</v>
      </c>
      <c r="O11" s="69">
        <v>210259</v>
      </c>
      <c r="P11" s="69">
        <v>276534</v>
      </c>
      <c r="Q11" s="65" t="str">
        <f>IFERROR(M11/N11-1,"n/a")</f>
        <v>n/a</v>
      </c>
      <c r="R11" s="65">
        <f>IFERROR(M11/O11-1,"n/a")</f>
        <v>-0.54577925320675935</v>
      </c>
      <c r="S11" s="61">
        <f>IFERROR(M11/P11-1,"n/a")</f>
        <v>-0.65463921253806046</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13</v>
      </c>
      <c r="G13" s="69">
        <v>0</v>
      </c>
      <c r="H13" s="69">
        <v>14</v>
      </c>
      <c r="I13" s="69">
        <v>21</v>
      </c>
      <c r="J13" s="65" t="str">
        <f t="shared" si="0"/>
        <v>n/a</v>
      </c>
      <c r="K13" s="65">
        <f t="shared" ref="K13:K14" si="3">IFERROR(F13/H13-1,"n/a")</f>
        <v>-7.1428571428571397E-2</v>
      </c>
      <c r="L13" s="61">
        <f t="shared" ref="L13:L14" si="4">IFERROR(F13/I13-1,"n/a")</f>
        <v>-0.38095238095238093</v>
      </c>
      <c r="M13" s="69">
        <v>29</v>
      </c>
      <c r="N13" s="69">
        <v>0</v>
      </c>
      <c r="O13" s="69">
        <v>33</v>
      </c>
      <c r="P13" s="69">
        <v>45</v>
      </c>
      <c r="Q13" s="65" t="str">
        <f t="shared" ref="Q13:Q14" si="5">IFERROR(M13/N13-1,"n/a")</f>
        <v>n/a</v>
      </c>
      <c r="R13" s="65">
        <f t="shared" ref="R13:R14" si="6">IFERROR(M13/O13-1,"n/a")</f>
        <v>-0.12121212121212122</v>
      </c>
      <c r="S13" s="61">
        <f t="shared" ref="S13:S14" si="7">IFERROR(M13/P13-1,"n/a")</f>
        <v>-0.35555555555555551</v>
      </c>
      <c r="T13" s="69">
        <v>283</v>
      </c>
      <c r="U13" s="71">
        <v>43</v>
      </c>
      <c r="V13" s="71">
        <v>827</v>
      </c>
    </row>
    <row r="14" spans="1:38">
      <c r="A14" s="10"/>
      <c r="B14" s="13"/>
      <c r="C14" s="34"/>
      <c r="D14" s="27" t="s">
        <v>11</v>
      </c>
      <c r="E14" s="33"/>
      <c r="F14" s="69">
        <v>14032</v>
      </c>
      <c r="G14" s="69">
        <v>0</v>
      </c>
      <c r="H14" s="69">
        <v>47023</v>
      </c>
      <c r="I14" s="69">
        <v>59703</v>
      </c>
      <c r="J14" s="65" t="str">
        <f t="shared" si="0"/>
        <v>n/a</v>
      </c>
      <c r="K14" s="65">
        <f t="shared" si="3"/>
        <v>-0.70159283754758306</v>
      </c>
      <c r="L14" s="61">
        <f t="shared" si="4"/>
        <v>-0.76496993450915363</v>
      </c>
      <c r="M14" s="69">
        <v>35860</v>
      </c>
      <c r="N14" s="69">
        <v>0</v>
      </c>
      <c r="O14" s="69">
        <v>112017</v>
      </c>
      <c r="P14" s="69">
        <v>134226</v>
      </c>
      <c r="Q14" s="65" t="str">
        <f t="shared" si="5"/>
        <v>n/a</v>
      </c>
      <c r="R14" s="65">
        <f t="shared" si="6"/>
        <v>-0.67987001972914829</v>
      </c>
      <c r="S14" s="61">
        <f t="shared" si="7"/>
        <v>-0.73283864526991782</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2</v>
      </c>
      <c r="G16" s="69">
        <v>0</v>
      </c>
      <c r="H16" s="69">
        <v>0</v>
      </c>
      <c r="I16" s="69">
        <v>1</v>
      </c>
      <c r="J16" s="65" t="str">
        <f t="shared" si="0"/>
        <v>n/a</v>
      </c>
      <c r="K16" s="65" t="str">
        <f t="shared" ref="K16:K17" si="8">IFERROR(F16/H16-1,"n/a")</f>
        <v>n/a</v>
      </c>
      <c r="L16" s="61">
        <f>IFERROR(F16/I16-1,"n/a")</f>
        <v>1</v>
      </c>
      <c r="M16" s="69">
        <v>5</v>
      </c>
      <c r="N16" s="69">
        <v>0</v>
      </c>
      <c r="O16" s="69">
        <v>1</v>
      </c>
      <c r="P16" s="69">
        <v>1</v>
      </c>
      <c r="Q16" s="65" t="str">
        <f t="shared" ref="Q16:Q17" si="9">IFERROR(M16/N16-1,"n/a")</f>
        <v>n/a</v>
      </c>
      <c r="R16" s="65">
        <f t="shared" ref="R16:R17" si="10">IFERROR(M16/O16-1,"n/a")</f>
        <v>4</v>
      </c>
      <c r="S16" s="61">
        <f t="shared" ref="S16:S17" si="11">IFERROR(M16/P16-1,"n/a")</f>
        <v>4</v>
      </c>
      <c r="T16" s="69">
        <v>23</v>
      </c>
      <c r="U16" s="71">
        <v>4</v>
      </c>
      <c r="V16" s="71">
        <v>191</v>
      </c>
    </row>
    <row r="17" spans="1:38">
      <c r="A17" s="10"/>
      <c r="B17" s="13"/>
      <c r="C17" s="34"/>
      <c r="D17" s="27" t="s">
        <v>11</v>
      </c>
      <c r="E17" s="33"/>
      <c r="F17" s="69">
        <v>294</v>
      </c>
      <c r="G17" s="69">
        <v>0</v>
      </c>
      <c r="H17" s="69">
        <v>0</v>
      </c>
      <c r="I17" s="69">
        <v>583</v>
      </c>
      <c r="J17" s="65" t="str">
        <f t="shared" si="0"/>
        <v>n/a</v>
      </c>
      <c r="K17" s="65" t="str">
        <f t="shared" si="8"/>
        <v>n/a</v>
      </c>
      <c r="L17" s="61">
        <f t="shared" ref="L17:L28" si="12">IFERROR(F17/I17-1,"n/a")</f>
        <v>-0.49571183533447682</v>
      </c>
      <c r="M17" s="69">
        <v>1108</v>
      </c>
      <c r="N17" s="69">
        <v>0</v>
      </c>
      <c r="O17" s="69">
        <v>823</v>
      </c>
      <c r="P17" s="69">
        <v>583</v>
      </c>
      <c r="Q17" s="65" t="str">
        <f t="shared" si="9"/>
        <v>n/a</v>
      </c>
      <c r="R17" s="65">
        <f t="shared" si="10"/>
        <v>0.34629404617253945</v>
      </c>
      <c r="S17" s="61">
        <f t="shared" si="11"/>
        <v>0.90051457975986282</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103</v>
      </c>
      <c r="G19" s="69">
        <v>0</v>
      </c>
      <c r="H19" s="69">
        <v>120</v>
      </c>
      <c r="I19" s="69">
        <v>95</v>
      </c>
      <c r="J19" s="65" t="str">
        <f t="shared" si="0"/>
        <v>n/a</v>
      </c>
      <c r="K19" s="65">
        <f t="shared" ref="K19:K20" si="13">IFERROR(F19/H19-1,"n/a")</f>
        <v>-0.14166666666666672</v>
      </c>
      <c r="L19" s="61">
        <f t="shared" si="12"/>
        <v>8.4210526315789513E-2</v>
      </c>
      <c r="M19" s="69">
        <v>203</v>
      </c>
      <c r="N19" s="69">
        <v>0</v>
      </c>
      <c r="O19" s="69">
        <v>246</v>
      </c>
      <c r="P19" s="69">
        <v>208</v>
      </c>
      <c r="Q19" s="65" t="str">
        <f t="shared" ref="Q19:Q20" si="14">IFERROR(M19/N19-1,"n/a")</f>
        <v>n/a</v>
      </c>
      <c r="R19" s="65">
        <f t="shared" ref="R19:R20" si="15">IFERROR(M19/O19-1,"n/a")</f>
        <v>-0.17479674796747968</v>
      </c>
      <c r="S19" s="61">
        <f t="shared" ref="S19:S20" si="16">IFERROR(M19/P19-1,"n/a")</f>
        <v>-2.4038461538461564E-2</v>
      </c>
      <c r="T19" s="69">
        <v>411</v>
      </c>
      <c r="U19" s="71">
        <v>406</v>
      </c>
      <c r="V19" s="71">
        <v>1205</v>
      </c>
    </row>
    <row r="20" spans="1:38">
      <c r="A20" s="10"/>
      <c r="B20" s="13"/>
      <c r="C20" s="34"/>
      <c r="D20" s="27" t="s">
        <v>11</v>
      </c>
      <c r="E20" s="33"/>
      <c r="F20" s="69">
        <v>174835</v>
      </c>
      <c r="G20" s="69">
        <v>0</v>
      </c>
      <c r="H20" s="69">
        <v>329055</v>
      </c>
      <c r="I20" s="69">
        <v>305578</v>
      </c>
      <c r="J20" s="65" t="str">
        <f t="shared" si="0"/>
        <v>n/a</v>
      </c>
      <c r="K20" s="65">
        <f t="shared" si="13"/>
        <v>-0.46867544939295858</v>
      </c>
      <c r="L20" s="61">
        <f t="shared" si="12"/>
        <v>-0.42785475394171046</v>
      </c>
      <c r="M20" s="69">
        <v>319653</v>
      </c>
      <c r="N20" s="69">
        <v>0</v>
      </c>
      <c r="O20" s="69">
        <v>686339</v>
      </c>
      <c r="P20" s="69">
        <v>673974</v>
      </c>
      <c r="Q20" s="65" t="str">
        <f t="shared" si="14"/>
        <v>n/a</v>
      </c>
      <c r="R20" s="65">
        <f t="shared" si="15"/>
        <v>-0.53426368019302417</v>
      </c>
      <c r="S20" s="61">
        <f t="shared" si="16"/>
        <v>-0.52571909302139253</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6</v>
      </c>
      <c r="G22" s="69">
        <v>4</v>
      </c>
      <c r="H22" s="69">
        <v>3</v>
      </c>
      <c r="I22" s="69">
        <v>7</v>
      </c>
      <c r="J22" s="65">
        <f t="shared" si="0"/>
        <v>0.5</v>
      </c>
      <c r="K22" s="65">
        <f t="shared" ref="K22:K23" si="17">IFERROR(F22/H22-1,"n/a")</f>
        <v>1</v>
      </c>
      <c r="L22" s="61">
        <f t="shared" si="12"/>
        <v>-0.1428571428571429</v>
      </c>
      <c r="M22" s="69">
        <v>9</v>
      </c>
      <c r="N22" s="69">
        <v>5</v>
      </c>
      <c r="O22" s="69">
        <v>8</v>
      </c>
      <c r="P22" s="69">
        <v>11</v>
      </c>
      <c r="Q22" s="65">
        <f t="shared" ref="Q22:Q23" si="18">IFERROR(M22/N22-1,"n/a")</f>
        <v>0.8</v>
      </c>
      <c r="R22" s="65">
        <f t="shared" ref="R22:R23" si="19">IFERROR(M22/O22-1,"n/a")</f>
        <v>0.125</v>
      </c>
      <c r="S22" s="61">
        <f t="shared" ref="S22:S23" si="20">IFERROR(M22/P22-1,"n/a")</f>
        <v>-0.18181818181818177</v>
      </c>
      <c r="T22" s="69">
        <v>107</v>
      </c>
      <c r="U22" s="71">
        <v>32</v>
      </c>
      <c r="V22" s="71">
        <v>372</v>
      </c>
    </row>
    <row r="23" spans="1:38">
      <c r="A23" s="10"/>
      <c r="B23" s="13"/>
      <c r="C23" s="34"/>
      <c r="D23" s="27" t="s">
        <v>11</v>
      </c>
      <c r="E23" s="33"/>
      <c r="F23" s="69">
        <v>5662</v>
      </c>
      <c r="G23" s="69">
        <v>4030</v>
      </c>
      <c r="H23" s="69">
        <v>16515</v>
      </c>
      <c r="I23" s="69">
        <v>24890</v>
      </c>
      <c r="J23" s="65">
        <f t="shared" si="0"/>
        <v>0.4049627791563275</v>
      </c>
      <c r="K23" s="65">
        <f t="shared" si="17"/>
        <v>-0.657160157432637</v>
      </c>
      <c r="L23" s="61">
        <f t="shared" si="12"/>
        <v>-0.77251908396946567</v>
      </c>
      <c r="M23" s="69">
        <v>7364</v>
      </c>
      <c r="N23" s="69">
        <v>4674</v>
      </c>
      <c r="O23" s="69">
        <v>39656</v>
      </c>
      <c r="P23" s="69">
        <v>44605</v>
      </c>
      <c r="Q23" s="65">
        <f t="shared" si="18"/>
        <v>0.57552417629439456</v>
      </c>
      <c r="R23" s="65">
        <f t="shared" si="19"/>
        <v>-0.81430300585031268</v>
      </c>
      <c r="S23" s="61">
        <f t="shared" si="20"/>
        <v>-0.83490640062773225</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1</v>
      </c>
      <c r="G25" s="69">
        <v>1</v>
      </c>
      <c r="H25" s="69">
        <v>1</v>
      </c>
      <c r="I25" s="69">
        <v>2</v>
      </c>
      <c r="J25" s="65">
        <f t="shared" si="0"/>
        <v>0</v>
      </c>
      <c r="K25" s="65">
        <f t="shared" ref="K25:K28" si="21">IFERROR(F25/H25-1,"n/a")</f>
        <v>0</v>
      </c>
      <c r="L25" s="61">
        <f t="shared" si="12"/>
        <v>-0.5</v>
      </c>
      <c r="M25" s="69">
        <v>2</v>
      </c>
      <c r="N25" s="69">
        <v>2</v>
      </c>
      <c r="O25" s="69">
        <v>1</v>
      </c>
      <c r="P25" s="69">
        <v>3</v>
      </c>
      <c r="Q25" s="65">
        <f t="shared" ref="Q25:Q28" si="22">IFERROR(M25/N25-1,"n/a")</f>
        <v>0</v>
      </c>
      <c r="R25" s="65">
        <f t="shared" ref="R25:R28" si="23">IFERROR(M25/O25-1,"n/a")</f>
        <v>1</v>
      </c>
      <c r="S25" s="61">
        <f t="shared" ref="S25:S28" si="24">IFERROR(M25/P25-1,"n/a")</f>
        <v>-0.33333333333333337</v>
      </c>
      <c r="T25" s="69">
        <v>124</v>
      </c>
      <c r="U25" s="71">
        <v>37</v>
      </c>
      <c r="V25" s="71">
        <f>282+81</f>
        <v>363</v>
      </c>
    </row>
    <row r="26" spans="1:38">
      <c r="A26" s="10"/>
      <c r="B26" s="13"/>
      <c r="C26" s="34"/>
      <c r="D26" s="27" t="s">
        <v>11</v>
      </c>
      <c r="E26" s="33"/>
      <c r="F26" s="69">
        <v>1983</v>
      </c>
      <c r="G26" s="69">
        <v>639</v>
      </c>
      <c r="H26" s="69">
        <v>892</v>
      </c>
      <c r="I26" s="69">
        <v>3305</v>
      </c>
      <c r="J26" s="65">
        <f t="shared" si="0"/>
        <v>2.103286384976526</v>
      </c>
      <c r="K26" s="65">
        <f t="shared" si="21"/>
        <v>1.2230941704035874</v>
      </c>
      <c r="L26" s="61">
        <f t="shared" si="12"/>
        <v>-0.4</v>
      </c>
      <c r="M26" s="69">
        <v>1983</v>
      </c>
      <c r="N26" s="69">
        <v>1283</v>
      </c>
      <c r="O26" s="69">
        <v>892</v>
      </c>
      <c r="P26" s="69">
        <v>4657</v>
      </c>
      <c r="Q26" s="65">
        <f t="shared" si="22"/>
        <v>0.54559625876851126</v>
      </c>
      <c r="R26" s="65">
        <f t="shared" si="23"/>
        <v>1.2230941704035874</v>
      </c>
      <c r="S26" s="61">
        <f t="shared" si="24"/>
        <v>-0.57418939231264765</v>
      </c>
      <c r="T26" s="69">
        <v>165083</v>
      </c>
      <c r="U26" s="71">
        <f>20768+8294</f>
        <v>29062</v>
      </c>
      <c r="V26" s="71">
        <f>659951+168729+38484</f>
        <v>867164</v>
      </c>
    </row>
    <row r="27" spans="1:38" ht="15.75" thickBot="1">
      <c r="A27" s="10"/>
      <c r="B27" s="13"/>
      <c r="C27" s="36" t="s">
        <v>12</v>
      </c>
      <c r="D27" s="37"/>
      <c r="E27" s="38"/>
      <c r="F27" s="47">
        <f t="shared" ref="F27:I28" si="25">F10+F13+F16+F19+F22+F25</f>
        <v>184</v>
      </c>
      <c r="G27" s="47">
        <f t="shared" si="25"/>
        <v>5</v>
      </c>
      <c r="H27" s="47">
        <f t="shared" si="25"/>
        <v>193</v>
      </c>
      <c r="I27" s="47">
        <f t="shared" si="25"/>
        <v>188</v>
      </c>
      <c r="J27" s="67">
        <f t="shared" si="0"/>
        <v>35.799999999999997</v>
      </c>
      <c r="K27" s="67">
        <f t="shared" si="21"/>
        <v>-4.6632124352331661E-2</v>
      </c>
      <c r="L27" s="63">
        <f t="shared" si="12"/>
        <v>-2.1276595744680882E-2</v>
      </c>
      <c r="M27" s="47">
        <f t="shared" ref="M27:P28" si="26">M10+M13+M16+M19+M22+M25</f>
        <v>371</v>
      </c>
      <c r="N27" s="47">
        <f t="shared" si="26"/>
        <v>7</v>
      </c>
      <c r="O27" s="47">
        <f t="shared" si="26"/>
        <v>405</v>
      </c>
      <c r="P27" s="47">
        <f t="shared" si="26"/>
        <v>406</v>
      </c>
      <c r="Q27" s="67">
        <f t="shared" si="22"/>
        <v>52</v>
      </c>
      <c r="R27" s="67">
        <f t="shared" si="23"/>
        <v>-8.395061728395059E-2</v>
      </c>
      <c r="S27" s="63">
        <f t="shared" si="24"/>
        <v>-8.6206896551724088E-2</v>
      </c>
      <c r="T27" s="47">
        <f t="shared" ref="T27:V28" si="27">T10+T13+T16+T19+T22+T25</f>
        <v>1059</v>
      </c>
      <c r="U27" s="47">
        <f t="shared" si="27"/>
        <v>667</v>
      </c>
      <c r="V27" s="47">
        <f t="shared" si="27"/>
        <v>3344</v>
      </c>
    </row>
    <row r="28" spans="1:38" s="23" customFormat="1" ht="16.5" thickTop="1" thickBot="1">
      <c r="A28" s="10"/>
      <c r="B28" s="13"/>
      <c r="C28" s="39" t="s">
        <v>13</v>
      </c>
      <c r="D28" s="40"/>
      <c r="E28" s="41"/>
      <c r="F28" s="48">
        <f t="shared" si="25"/>
        <v>241516</v>
      </c>
      <c r="G28" s="48">
        <f t="shared" si="25"/>
        <v>4669</v>
      </c>
      <c r="H28" s="48">
        <f t="shared" si="25"/>
        <v>494948</v>
      </c>
      <c r="I28" s="48">
        <f t="shared" si="25"/>
        <v>513727</v>
      </c>
      <c r="J28" s="68">
        <f t="shared" si="0"/>
        <v>50.727564789034055</v>
      </c>
      <c r="K28" s="68">
        <f t="shared" si="21"/>
        <v>-0.5120376281952852</v>
      </c>
      <c r="L28" s="64">
        <f t="shared" si="12"/>
        <v>-0.52987481678011861</v>
      </c>
      <c r="M28" s="48">
        <f t="shared" si="26"/>
        <v>461472</v>
      </c>
      <c r="N28" s="48">
        <f t="shared" si="26"/>
        <v>5957</v>
      </c>
      <c r="O28" s="48">
        <f t="shared" si="26"/>
        <v>1049986</v>
      </c>
      <c r="P28" s="48">
        <f t="shared" si="26"/>
        <v>1134579</v>
      </c>
      <c r="Q28" s="68">
        <f t="shared" si="22"/>
        <v>76.467181467181462</v>
      </c>
      <c r="R28" s="68">
        <f t="shared" si="23"/>
        <v>-0.56049699710281853</v>
      </c>
      <c r="S28" s="64">
        <f t="shared" si="24"/>
        <v>-0.59326587218695215</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0.85546875" bestFit="1" customWidth="1"/>
    <col min="9" max="9" width="11.1406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37</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02" t="s">
        <v>33</v>
      </c>
      <c r="G6" s="102"/>
      <c r="H6" s="102"/>
      <c r="I6" s="102"/>
      <c r="J6" s="102"/>
      <c r="K6" s="102"/>
      <c r="L6" s="103"/>
      <c r="M6" s="104" t="s">
        <v>33</v>
      </c>
      <c r="N6" s="102"/>
      <c r="O6" s="102"/>
      <c r="P6" s="102"/>
      <c r="Q6" s="102"/>
      <c r="R6" s="102"/>
      <c r="S6" s="103"/>
      <c r="T6" s="104" t="s">
        <v>9</v>
      </c>
      <c r="U6" s="102"/>
      <c r="V6" s="102"/>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64</v>
      </c>
      <c r="G10" s="69">
        <v>0</v>
      </c>
      <c r="H10" s="69">
        <v>61</v>
      </c>
      <c r="I10" s="69">
        <v>76</v>
      </c>
      <c r="J10" s="65" t="str">
        <f t="shared" ref="J10:J28" si="0">IFERROR(F10/G10-1,"n/a")</f>
        <v>n/a</v>
      </c>
      <c r="K10" s="65">
        <f>IFERROR(F10/H10-1,"n/a")</f>
        <v>4.9180327868852514E-2</v>
      </c>
      <c r="L10" s="61">
        <f t="shared" ref="L10:L11" si="1">IFERROR(F10/I10-1,"n/a")</f>
        <v>-0.15789473684210531</v>
      </c>
      <c r="M10" s="69">
        <v>64</v>
      </c>
      <c r="N10" s="69">
        <v>0</v>
      </c>
      <c r="O10" s="69">
        <v>61</v>
      </c>
      <c r="P10" s="69">
        <v>76</v>
      </c>
      <c r="Q10" s="65" t="str">
        <f>IFERROR(M10/N10-1,"n/a")</f>
        <v>n/a</v>
      </c>
      <c r="R10" s="65">
        <f>IFERROR(M10/O10-1,"n/a")</f>
        <v>4.9180327868852514E-2</v>
      </c>
      <c r="S10" s="61">
        <f>IFERROR(M10/P10-1,"n/a")</f>
        <v>-0.15789473684210531</v>
      </c>
      <c r="T10" s="69">
        <v>111</v>
      </c>
      <c r="U10" s="71">
        <v>145</v>
      </c>
      <c r="V10" s="71">
        <v>386</v>
      </c>
    </row>
    <row r="11" spans="1:38">
      <c r="A11" s="10"/>
      <c r="B11" s="13"/>
      <c r="C11" s="34"/>
      <c r="D11" s="27" t="s">
        <v>11</v>
      </c>
      <c r="E11" s="33"/>
      <c r="F11" s="69">
        <v>50794</v>
      </c>
      <c r="G11" s="69">
        <v>0</v>
      </c>
      <c r="H11" s="69">
        <v>108796</v>
      </c>
      <c r="I11" s="69">
        <v>156866</v>
      </c>
      <c r="J11" s="65" t="str">
        <f t="shared" si="0"/>
        <v>n/a</v>
      </c>
      <c r="K11" s="65">
        <f t="shared" ref="K11" si="2">IFERROR(F11/H11-1,"n/a")</f>
        <v>-0.53312621787565717</v>
      </c>
      <c r="L11" s="61">
        <f t="shared" si="1"/>
        <v>-0.67619496895439424</v>
      </c>
      <c r="M11" s="69">
        <v>50794</v>
      </c>
      <c r="N11" s="69">
        <v>0</v>
      </c>
      <c r="O11" s="69">
        <v>108796</v>
      </c>
      <c r="P11" s="69">
        <v>156866</v>
      </c>
      <c r="Q11" s="65" t="str">
        <f>IFERROR(M11/N11-1,"n/a")</f>
        <v>n/a</v>
      </c>
      <c r="R11" s="65">
        <f>IFERROR(M11/O11-1,"n/a")</f>
        <v>-0.53312621787565717</v>
      </c>
      <c r="S11" s="61">
        <f>IFERROR(M11/P11-1,"n/a")</f>
        <v>-0.67619496895439424</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16</v>
      </c>
      <c r="G13" s="69">
        <v>0</v>
      </c>
      <c r="H13" s="69">
        <v>19</v>
      </c>
      <c r="I13" s="69">
        <v>24</v>
      </c>
      <c r="J13" s="65" t="str">
        <f t="shared" si="0"/>
        <v>n/a</v>
      </c>
      <c r="K13" s="65">
        <f t="shared" ref="K13:K14" si="3">IFERROR(F13/H13-1,"n/a")</f>
        <v>-0.15789473684210531</v>
      </c>
      <c r="L13" s="61">
        <f t="shared" ref="L13:L14" si="4">IFERROR(F13/I13-1,"n/a")</f>
        <v>-0.33333333333333337</v>
      </c>
      <c r="M13" s="69">
        <v>16</v>
      </c>
      <c r="N13" s="69">
        <v>0</v>
      </c>
      <c r="O13" s="69">
        <v>19</v>
      </c>
      <c r="P13" s="69">
        <v>24</v>
      </c>
      <c r="Q13" s="65" t="str">
        <f t="shared" ref="Q13:Q14" si="5">IFERROR(M13/N13-1,"n/a")</f>
        <v>n/a</v>
      </c>
      <c r="R13" s="65">
        <f t="shared" ref="R13:R14" si="6">IFERROR(M13/O13-1,"n/a")</f>
        <v>-0.15789473684210531</v>
      </c>
      <c r="S13" s="61">
        <f t="shared" ref="S13:S14" si="7">IFERROR(M13/P13-1,"n/a")</f>
        <v>-0.33333333333333337</v>
      </c>
      <c r="T13" s="69">
        <v>283</v>
      </c>
      <c r="U13" s="71">
        <v>43</v>
      </c>
      <c r="V13" s="71">
        <v>827</v>
      </c>
    </row>
    <row r="14" spans="1:38">
      <c r="A14" s="10"/>
      <c r="B14" s="13"/>
      <c r="C14" s="34"/>
      <c r="D14" s="27" t="s">
        <v>11</v>
      </c>
      <c r="E14" s="33"/>
      <c r="F14" s="69">
        <v>21828</v>
      </c>
      <c r="G14" s="69">
        <v>0</v>
      </c>
      <c r="H14" s="69">
        <v>64994</v>
      </c>
      <c r="I14" s="69">
        <v>74523</v>
      </c>
      <c r="J14" s="65" t="str">
        <f t="shared" si="0"/>
        <v>n/a</v>
      </c>
      <c r="K14" s="65">
        <f t="shared" si="3"/>
        <v>-0.66415361417977037</v>
      </c>
      <c r="L14" s="61">
        <f t="shared" si="4"/>
        <v>-0.70709713779638506</v>
      </c>
      <c r="M14" s="69">
        <v>21828</v>
      </c>
      <c r="N14" s="69">
        <v>0</v>
      </c>
      <c r="O14" s="69">
        <v>64994</v>
      </c>
      <c r="P14" s="69">
        <v>74523</v>
      </c>
      <c r="Q14" s="65" t="str">
        <f t="shared" si="5"/>
        <v>n/a</v>
      </c>
      <c r="R14" s="65">
        <f t="shared" si="6"/>
        <v>-0.66415361417977037</v>
      </c>
      <c r="S14" s="61">
        <f t="shared" si="7"/>
        <v>-0.70709713779638506</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3</v>
      </c>
      <c r="G16" s="69">
        <v>0</v>
      </c>
      <c r="H16" s="69">
        <v>1</v>
      </c>
      <c r="I16" s="69">
        <v>0</v>
      </c>
      <c r="J16" s="65" t="str">
        <f t="shared" si="0"/>
        <v>n/a</v>
      </c>
      <c r="K16" s="65">
        <f t="shared" ref="K16:K17" si="8">IFERROR(F16/H16-1,"n/a")</f>
        <v>2</v>
      </c>
      <c r="L16" s="61" t="str">
        <f>IFERROR(F16/I16-1,"n/a")</f>
        <v>n/a</v>
      </c>
      <c r="M16" s="69">
        <v>3</v>
      </c>
      <c r="N16" s="69">
        <v>0</v>
      </c>
      <c r="O16" s="69">
        <v>1</v>
      </c>
      <c r="P16" s="69">
        <v>0</v>
      </c>
      <c r="Q16" s="65" t="str">
        <f t="shared" ref="Q16:Q17" si="9">IFERROR(M16/N16-1,"n/a")</f>
        <v>n/a</v>
      </c>
      <c r="R16" s="65">
        <f t="shared" ref="R16:R17" si="10">IFERROR(M16/O16-1,"n/a")</f>
        <v>2</v>
      </c>
      <c r="S16" s="61" t="str">
        <f t="shared" ref="S16:S17" si="11">IFERROR(M16/P16-1,"n/a")</f>
        <v>n/a</v>
      </c>
      <c r="T16" s="69">
        <v>23</v>
      </c>
      <c r="U16" s="71">
        <v>4</v>
      </c>
      <c r="V16" s="71">
        <v>191</v>
      </c>
    </row>
    <row r="17" spans="1:38">
      <c r="A17" s="10"/>
      <c r="B17" s="13"/>
      <c r="C17" s="34"/>
      <c r="D17" s="27" t="s">
        <v>11</v>
      </c>
      <c r="E17" s="33"/>
      <c r="F17" s="69">
        <v>814</v>
      </c>
      <c r="G17" s="69">
        <v>0</v>
      </c>
      <c r="H17" s="69">
        <v>823</v>
      </c>
      <c r="I17" s="69">
        <v>0</v>
      </c>
      <c r="J17" s="65" t="str">
        <f t="shared" si="0"/>
        <v>n/a</v>
      </c>
      <c r="K17" s="65">
        <f t="shared" si="8"/>
        <v>-1.0935601458080146E-2</v>
      </c>
      <c r="L17" s="61" t="str">
        <f t="shared" ref="L17:L28" si="12">IFERROR(F17/I17-1,"n/a")</f>
        <v>n/a</v>
      </c>
      <c r="M17" s="69">
        <v>814</v>
      </c>
      <c r="N17" s="69">
        <v>0</v>
      </c>
      <c r="O17" s="69">
        <v>823</v>
      </c>
      <c r="P17" s="69">
        <v>0</v>
      </c>
      <c r="Q17" s="65" t="str">
        <f t="shared" si="9"/>
        <v>n/a</v>
      </c>
      <c r="R17" s="65">
        <f t="shared" si="10"/>
        <v>-1.0935601458080146E-2</v>
      </c>
      <c r="S17" s="61" t="str">
        <f t="shared" si="11"/>
        <v>n/a</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100</v>
      </c>
      <c r="G19" s="69">
        <v>0</v>
      </c>
      <c r="H19" s="69">
        <v>126</v>
      </c>
      <c r="I19" s="69">
        <v>113</v>
      </c>
      <c r="J19" s="65" t="str">
        <f t="shared" si="0"/>
        <v>n/a</v>
      </c>
      <c r="K19" s="65">
        <f t="shared" ref="K19:K20" si="13">IFERROR(F19/H19-1,"n/a")</f>
        <v>-0.20634920634920639</v>
      </c>
      <c r="L19" s="61">
        <f t="shared" si="12"/>
        <v>-0.11504424778761058</v>
      </c>
      <c r="M19" s="69">
        <v>100</v>
      </c>
      <c r="N19" s="69">
        <v>0</v>
      </c>
      <c r="O19" s="69">
        <v>126</v>
      </c>
      <c r="P19" s="69">
        <v>113</v>
      </c>
      <c r="Q19" s="65" t="str">
        <f t="shared" ref="Q19:Q20" si="14">IFERROR(M19/N19-1,"n/a")</f>
        <v>n/a</v>
      </c>
      <c r="R19" s="65">
        <f t="shared" ref="R19:R20" si="15">IFERROR(M19/O19-1,"n/a")</f>
        <v>-0.20634920634920639</v>
      </c>
      <c r="S19" s="61">
        <f t="shared" ref="S19:S20" si="16">IFERROR(M19/P19-1,"n/a")</f>
        <v>-0.11504424778761058</v>
      </c>
      <c r="T19" s="69">
        <v>411</v>
      </c>
      <c r="U19" s="71">
        <v>406</v>
      </c>
      <c r="V19" s="71">
        <v>1205</v>
      </c>
    </row>
    <row r="20" spans="1:38">
      <c r="A20" s="10"/>
      <c r="B20" s="13"/>
      <c r="C20" s="34"/>
      <c r="D20" s="27" t="s">
        <v>11</v>
      </c>
      <c r="E20" s="33"/>
      <c r="F20" s="69">
        <v>144818</v>
      </c>
      <c r="G20" s="69">
        <v>0</v>
      </c>
      <c r="H20" s="69">
        <v>357284</v>
      </c>
      <c r="I20" s="69">
        <v>368396</v>
      </c>
      <c r="J20" s="65" t="str">
        <f t="shared" si="0"/>
        <v>n/a</v>
      </c>
      <c r="K20" s="65">
        <f t="shared" si="13"/>
        <v>-0.59466978650037505</v>
      </c>
      <c r="L20" s="61">
        <f t="shared" si="12"/>
        <v>-0.60689584034571498</v>
      </c>
      <c r="M20" s="69">
        <v>144818</v>
      </c>
      <c r="N20" s="69">
        <v>0</v>
      </c>
      <c r="O20" s="69">
        <v>357284</v>
      </c>
      <c r="P20" s="69">
        <v>368396</v>
      </c>
      <c r="Q20" s="65" t="str">
        <f t="shared" si="14"/>
        <v>n/a</v>
      </c>
      <c r="R20" s="65">
        <f t="shared" si="15"/>
        <v>-0.59466978650037505</v>
      </c>
      <c r="S20" s="61">
        <f t="shared" si="16"/>
        <v>-0.60689584034571498</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3</v>
      </c>
      <c r="G22" s="69">
        <v>1</v>
      </c>
      <c r="H22" s="69">
        <v>5</v>
      </c>
      <c r="I22" s="69">
        <v>4</v>
      </c>
      <c r="J22" s="65">
        <f t="shared" si="0"/>
        <v>2</v>
      </c>
      <c r="K22" s="65">
        <f t="shared" ref="K22:K23" si="17">IFERROR(F22/H22-1,"n/a")</f>
        <v>-0.4</v>
      </c>
      <c r="L22" s="61">
        <f t="shared" si="12"/>
        <v>-0.25</v>
      </c>
      <c r="M22" s="69">
        <v>3</v>
      </c>
      <c r="N22" s="69">
        <v>1</v>
      </c>
      <c r="O22" s="69">
        <v>5</v>
      </c>
      <c r="P22" s="69">
        <v>4</v>
      </c>
      <c r="Q22" s="65">
        <f t="shared" ref="Q22:Q23" si="18">IFERROR(M22/N22-1,"n/a")</f>
        <v>2</v>
      </c>
      <c r="R22" s="65">
        <f t="shared" ref="R22:R23" si="19">IFERROR(M22/O22-1,"n/a")</f>
        <v>-0.4</v>
      </c>
      <c r="S22" s="61">
        <f t="shared" ref="S22:S23" si="20">IFERROR(M22/P22-1,"n/a")</f>
        <v>-0.25</v>
      </c>
      <c r="T22" s="69">
        <v>107</v>
      </c>
      <c r="U22" s="71">
        <v>32</v>
      </c>
      <c r="V22" s="71">
        <v>372</v>
      </c>
    </row>
    <row r="23" spans="1:38">
      <c r="A23" s="10"/>
      <c r="B23" s="13"/>
      <c r="C23" s="34"/>
      <c r="D23" s="27" t="s">
        <v>11</v>
      </c>
      <c r="E23" s="33"/>
      <c r="F23" s="69">
        <v>1702</v>
      </c>
      <c r="G23" s="69">
        <v>644</v>
      </c>
      <c r="H23" s="69">
        <v>23141</v>
      </c>
      <c r="I23" s="69">
        <v>19715</v>
      </c>
      <c r="J23" s="65">
        <f t="shared" si="0"/>
        <v>1.6428571428571428</v>
      </c>
      <c r="K23" s="65">
        <f t="shared" si="17"/>
        <v>-0.92645088803422493</v>
      </c>
      <c r="L23" s="61">
        <f t="shared" si="12"/>
        <v>-0.9136697945726604</v>
      </c>
      <c r="M23" s="69">
        <v>1702</v>
      </c>
      <c r="N23" s="69">
        <v>644</v>
      </c>
      <c r="O23" s="69">
        <v>23141</v>
      </c>
      <c r="P23" s="69">
        <v>19715</v>
      </c>
      <c r="Q23" s="65">
        <f t="shared" si="18"/>
        <v>1.6428571428571428</v>
      </c>
      <c r="R23" s="65">
        <f t="shared" si="19"/>
        <v>-0.92645088803422493</v>
      </c>
      <c r="S23" s="61">
        <f t="shared" si="20"/>
        <v>-0.9136697945726604</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0</v>
      </c>
      <c r="G25" s="69">
        <v>1</v>
      </c>
      <c r="H25" s="69">
        <v>0</v>
      </c>
      <c r="I25" s="69">
        <v>1</v>
      </c>
      <c r="J25" s="65">
        <f t="shared" si="0"/>
        <v>-1</v>
      </c>
      <c r="K25" s="65" t="str">
        <f t="shared" ref="K25:K28" si="21">IFERROR(F25/H25-1,"n/a")</f>
        <v>n/a</v>
      </c>
      <c r="L25" s="61">
        <f t="shared" si="12"/>
        <v>-1</v>
      </c>
      <c r="M25" s="69">
        <v>0</v>
      </c>
      <c r="N25" s="69">
        <v>1</v>
      </c>
      <c r="O25" s="69">
        <v>0</v>
      </c>
      <c r="P25" s="69">
        <v>1</v>
      </c>
      <c r="Q25" s="65">
        <f t="shared" ref="Q25:Q28" si="22">IFERROR(M25/N25-1,"n/a")</f>
        <v>-1</v>
      </c>
      <c r="R25" s="65" t="str">
        <f t="shared" ref="R25:R28" si="23">IFERROR(M25/O25-1,"n/a")</f>
        <v>n/a</v>
      </c>
      <c r="S25" s="61">
        <f t="shared" ref="S25:S28" si="24">IFERROR(M25/P25-1,"n/a")</f>
        <v>-1</v>
      </c>
      <c r="T25" s="69">
        <v>124</v>
      </c>
      <c r="U25" s="71">
        <v>37</v>
      </c>
      <c r="V25" s="71">
        <f>282+81</f>
        <v>363</v>
      </c>
    </row>
    <row r="26" spans="1:38">
      <c r="A26" s="10"/>
      <c r="B26" s="13"/>
      <c r="C26" s="34"/>
      <c r="D26" s="27" t="s">
        <v>11</v>
      </c>
      <c r="E26" s="33"/>
      <c r="F26" s="69">
        <v>0</v>
      </c>
      <c r="G26" s="69">
        <v>644</v>
      </c>
      <c r="H26" s="69">
        <v>0</v>
      </c>
      <c r="I26" s="69">
        <v>1352</v>
      </c>
      <c r="J26" s="65">
        <f t="shared" si="0"/>
        <v>-1</v>
      </c>
      <c r="K26" s="65" t="str">
        <f t="shared" si="21"/>
        <v>n/a</v>
      </c>
      <c r="L26" s="61">
        <f t="shared" si="12"/>
        <v>-1</v>
      </c>
      <c r="M26" s="69">
        <v>0</v>
      </c>
      <c r="N26" s="69">
        <v>644</v>
      </c>
      <c r="O26" s="69">
        <v>0</v>
      </c>
      <c r="P26" s="69">
        <v>1352</v>
      </c>
      <c r="Q26" s="65">
        <f t="shared" si="22"/>
        <v>-1</v>
      </c>
      <c r="R26" s="65" t="str">
        <f t="shared" si="23"/>
        <v>n/a</v>
      </c>
      <c r="S26" s="61">
        <f t="shared" si="24"/>
        <v>-1</v>
      </c>
      <c r="T26" s="69">
        <v>165083</v>
      </c>
      <c r="U26" s="71">
        <f>20768+8294</f>
        <v>29062</v>
      </c>
      <c r="V26" s="71">
        <f>659951+168729+38484</f>
        <v>867164</v>
      </c>
    </row>
    <row r="27" spans="1:38" ht="15.75" thickBot="1">
      <c r="A27" s="10"/>
      <c r="B27" s="13"/>
      <c r="C27" s="36" t="s">
        <v>12</v>
      </c>
      <c r="D27" s="37"/>
      <c r="E27" s="38"/>
      <c r="F27" s="47">
        <f t="shared" ref="F27" si="25">F10+F13+F16+F19+F22+F25</f>
        <v>186</v>
      </c>
      <c r="G27" s="47">
        <f t="shared" ref="G27:I28" si="26">G10+G13+G16+G19+G22+G25</f>
        <v>2</v>
      </c>
      <c r="H27" s="47">
        <f t="shared" si="26"/>
        <v>212</v>
      </c>
      <c r="I27" s="47">
        <f t="shared" si="26"/>
        <v>218</v>
      </c>
      <c r="J27" s="67">
        <f t="shared" si="0"/>
        <v>92</v>
      </c>
      <c r="K27" s="67">
        <f t="shared" si="21"/>
        <v>-0.12264150943396224</v>
      </c>
      <c r="L27" s="63">
        <f t="shared" si="12"/>
        <v>-0.14678899082568808</v>
      </c>
      <c r="M27" s="47">
        <f t="shared" ref="M27:P28" si="27">M10+M13+M16+M19+M22+M25</f>
        <v>186</v>
      </c>
      <c r="N27" s="47">
        <f t="shared" si="27"/>
        <v>2</v>
      </c>
      <c r="O27" s="47">
        <f t="shared" si="27"/>
        <v>212</v>
      </c>
      <c r="P27" s="47">
        <f t="shared" si="27"/>
        <v>218</v>
      </c>
      <c r="Q27" s="67">
        <f t="shared" si="22"/>
        <v>92</v>
      </c>
      <c r="R27" s="67">
        <f t="shared" si="23"/>
        <v>-0.12264150943396224</v>
      </c>
      <c r="S27" s="63">
        <f t="shared" si="24"/>
        <v>-0.14678899082568808</v>
      </c>
      <c r="T27" s="47">
        <f t="shared" ref="T27:V28" si="28">T10+T13+T16+T19+T22+T25</f>
        <v>1059</v>
      </c>
      <c r="U27" s="47">
        <f t="shared" si="28"/>
        <v>667</v>
      </c>
      <c r="V27" s="47">
        <f t="shared" si="28"/>
        <v>3344</v>
      </c>
    </row>
    <row r="28" spans="1:38" s="23" customFormat="1" ht="16.5" thickTop="1" thickBot="1">
      <c r="A28" s="10"/>
      <c r="B28" s="13"/>
      <c r="C28" s="39" t="s">
        <v>13</v>
      </c>
      <c r="D28" s="40"/>
      <c r="E28" s="41"/>
      <c r="F28" s="48">
        <f t="shared" ref="F28" si="29">F11+F14+F17+F20+F23+F26</f>
        <v>219956</v>
      </c>
      <c r="G28" s="48">
        <f t="shared" si="26"/>
        <v>1288</v>
      </c>
      <c r="H28" s="48">
        <f t="shared" si="26"/>
        <v>555038</v>
      </c>
      <c r="I28" s="48">
        <f t="shared" si="26"/>
        <v>620852</v>
      </c>
      <c r="J28" s="68">
        <f t="shared" si="0"/>
        <v>169.77329192546583</v>
      </c>
      <c r="K28" s="68">
        <f t="shared" si="21"/>
        <v>-0.60371001625113951</v>
      </c>
      <c r="L28" s="64">
        <f t="shared" si="12"/>
        <v>-0.64571910857982262</v>
      </c>
      <c r="M28" s="48">
        <f t="shared" si="27"/>
        <v>219956</v>
      </c>
      <c r="N28" s="48">
        <f t="shared" si="27"/>
        <v>1288</v>
      </c>
      <c r="O28" s="48">
        <f t="shared" si="27"/>
        <v>555038</v>
      </c>
      <c r="P28" s="48">
        <f t="shared" si="27"/>
        <v>620852</v>
      </c>
      <c r="Q28" s="68">
        <f t="shared" si="22"/>
        <v>169.77329192546583</v>
      </c>
      <c r="R28" s="68">
        <f t="shared" si="23"/>
        <v>-0.60371001625113951</v>
      </c>
      <c r="S28" s="64">
        <f t="shared" si="24"/>
        <v>-0.64571910857982262</v>
      </c>
      <c r="T28" s="48">
        <f t="shared" si="28"/>
        <v>1554247</v>
      </c>
      <c r="U28" s="48">
        <f t="shared" si="28"/>
        <v>1323431</v>
      </c>
      <c r="V28" s="48">
        <f t="shared" si="28"/>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30</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04" t="s">
        <v>31</v>
      </c>
      <c r="G6" s="106"/>
      <c r="H6" s="106"/>
      <c r="I6" s="107"/>
      <c r="J6" s="108"/>
      <c r="K6" s="104" t="s">
        <v>32</v>
      </c>
      <c r="L6" s="106"/>
      <c r="M6" s="106"/>
      <c r="N6" s="107"/>
      <c r="O6" s="108"/>
      <c r="P6" s="102" t="s">
        <v>9</v>
      </c>
      <c r="Q6" s="10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70</v>
      </c>
      <c r="G10" s="69">
        <f>L10-'Nov-21'!L10</f>
        <v>0</v>
      </c>
      <c r="H10" s="69">
        <f>M10-'Nov-21'!M10</f>
        <v>69</v>
      </c>
      <c r="I10" s="65" t="str">
        <f>IFERROR(F10/G10-1,"n/a")</f>
        <v>n/a</v>
      </c>
      <c r="J10" s="61">
        <f>F10/H10-1</f>
        <v>1.449275362318847E-2</v>
      </c>
      <c r="K10" s="69">
        <v>111</v>
      </c>
      <c r="L10" s="69">
        <v>145</v>
      </c>
      <c r="M10" s="69">
        <v>386</v>
      </c>
      <c r="N10" s="65">
        <f>K10/L10-1</f>
        <v>-0.23448275862068968</v>
      </c>
      <c r="O10" s="61">
        <f>K10/M10-1</f>
        <v>-0.71243523316062174</v>
      </c>
      <c r="P10" s="71">
        <v>145</v>
      </c>
      <c r="Q10" s="71">
        <v>386</v>
      </c>
    </row>
    <row r="11" spans="1:33">
      <c r="A11" s="10"/>
      <c r="B11" s="13"/>
      <c r="C11" s="34"/>
      <c r="D11" s="27" t="s">
        <v>11</v>
      </c>
      <c r="E11" s="33"/>
      <c r="F11" s="69">
        <v>52767</v>
      </c>
      <c r="G11" s="69">
        <f>L11-'Nov-21'!L11</f>
        <v>0</v>
      </c>
      <c r="H11" s="69">
        <f>M11-'Nov-21'!M11</f>
        <v>120203</v>
      </c>
      <c r="I11" s="65" t="str">
        <f t="shared" ref="I11:I26" si="0">IFERROR(F11/G11-1,"n/a")</f>
        <v>n/a</v>
      </c>
      <c r="J11" s="61">
        <f>F11/H11-1</f>
        <v>-0.56101761187324772</v>
      </c>
      <c r="K11" s="69">
        <v>80863</v>
      </c>
      <c r="L11" s="69">
        <v>258885</v>
      </c>
      <c r="M11" s="69">
        <v>733296</v>
      </c>
      <c r="N11" s="65">
        <f>K11/L11-1</f>
        <v>-0.68764895610019894</v>
      </c>
      <c r="O11" s="61">
        <f>K11/M11-1</f>
        <v>-0.8897266588117213</v>
      </c>
      <c r="P11" s="71">
        <v>258885</v>
      </c>
      <c r="Q11" s="71">
        <v>733296</v>
      </c>
    </row>
    <row r="12" spans="1:33">
      <c r="A12" s="10"/>
      <c r="B12" s="13"/>
      <c r="C12" s="32" t="s">
        <v>74</v>
      </c>
      <c r="D12" s="27"/>
      <c r="E12" s="33"/>
      <c r="F12" s="46"/>
      <c r="G12" s="46"/>
      <c r="H12" s="46"/>
      <c r="I12" s="65"/>
      <c r="J12" s="62"/>
      <c r="K12" s="44"/>
      <c r="L12" s="44"/>
      <c r="M12" s="44"/>
      <c r="N12" s="66"/>
      <c r="O12" s="62"/>
      <c r="P12" s="45"/>
      <c r="Q12" s="45"/>
    </row>
    <row r="13" spans="1:33">
      <c r="A13" s="10"/>
      <c r="B13" s="13"/>
      <c r="C13" s="34"/>
      <c r="D13" s="27" t="s">
        <v>5</v>
      </c>
      <c r="E13" s="33"/>
      <c r="F13" s="69">
        <v>25</v>
      </c>
      <c r="G13" s="69">
        <f>L13-'Nov-21'!L13</f>
        <v>0</v>
      </c>
      <c r="H13" s="69">
        <f>M13-'Nov-21'!M13</f>
        <v>20</v>
      </c>
      <c r="I13" s="65" t="str">
        <f t="shared" si="0"/>
        <v>n/a</v>
      </c>
      <c r="J13" s="61">
        <f>F13/H13-1</f>
        <v>0.25</v>
      </c>
      <c r="K13" s="69">
        <v>283</v>
      </c>
      <c r="L13" s="69">
        <v>43</v>
      </c>
      <c r="M13" s="69">
        <v>827</v>
      </c>
      <c r="N13" s="65">
        <f>K13/L13-1</f>
        <v>5.5813953488372094</v>
      </c>
      <c r="O13" s="61">
        <f>K13/M13-1</f>
        <v>-0.65779927448609432</v>
      </c>
      <c r="P13" s="71">
        <v>43</v>
      </c>
      <c r="Q13" s="71">
        <v>827</v>
      </c>
    </row>
    <row r="14" spans="1:33">
      <c r="A14" s="10"/>
      <c r="B14" s="13"/>
      <c r="C14" s="34"/>
      <c r="D14" s="27" t="s">
        <v>11</v>
      </c>
      <c r="E14" s="33"/>
      <c r="F14" s="69">
        <v>39214</v>
      </c>
      <c r="G14" s="69">
        <f>L14-'Nov-21'!L14</f>
        <v>0</v>
      </c>
      <c r="H14" s="69">
        <f>M14-'Nov-21'!M14</f>
        <v>58943</v>
      </c>
      <c r="I14" s="65" t="str">
        <f t="shared" si="0"/>
        <v>n/a</v>
      </c>
      <c r="J14" s="61">
        <f>F14/H14-1</f>
        <v>-0.33471319749588591</v>
      </c>
      <c r="K14" s="69">
        <v>465109</v>
      </c>
      <c r="L14" s="69">
        <v>140552</v>
      </c>
      <c r="M14" s="69">
        <v>2552942</v>
      </c>
      <c r="N14" s="65">
        <f>K14/L14-1</f>
        <v>2.3091595992942113</v>
      </c>
      <c r="O14" s="61">
        <f>K14/M14-1</f>
        <v>-0.81781450577412262</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3</v>
      </c>
      <c r="G16" s="69">
        <f>L16-'Nov-21'!L16</f>
        <v>0</v>
      </c>
      <c r="H16" s="69">
        <f>M16-'Nov-21'!M16</f>
        <v>9</v>
      </c>
      <c r="I16" s="65" t="str">
        <f t="shared" si="0"/>
        <v>n/a</v>
      </c>
      <c r="J16" s="61">
        <f>F16/H16-1</f>
        <v>-0.66666666666666674</v>
      </c>
      <c r="K16" s="69">
        <v>23</v>
      </c>
      <c r="L16" s="69">
        <v>4</v>
      </c>
      <c r="M16" s="69">
        <v>191</v>
      </c>
      <c r="N16" s="65">
        <f>K16/L16-1</f>
        <v>4.75</v>
      </c>
      <c r="O16" s="61">
        <f>K16/M16-1</f>
        <v>-0.87958115183246077</v>
      </c>
      <c r="P16" s="71">
        <v>4</v>
      </c>
      <c r="Q16" s="71">
        <v>191</v>
      </c>
    </row>
    <row r="17" spans="1:33">
      <c r="A17" s="10"/>
      <c r="B17" s="13"/>
      <c r="C17" s="34"/>
      <c r="D17" s="27" t="s">
        <v>11</v>
      </c>
      <c r="E17" s="33"/>
      <c r="F17" s="69">
        <v>864</v>
      </c>
      <c r="G17" s="69">
        <f>L17-'Nov-21'!L17</f>
        <v>0</v>
      </c>
      <c r="H17" s="69">
        <f>M17-'Nov-21'!M17</f>
        <v>9813</v>
      </c>
      <c r="I17" s="65" t="str">
        <f t="shared" si="0"/>
        <v>n/a</v>
      </c>
      <c r="J17" s="61">
        <f>F17/H17-1</f>
        <v>-0.911953531030266</v>
      </c>
      <c r="K17" s="69">
        <v>8611</v>
      </c>
      <c r="L17" s="69">
        <v>1753</v>
      </c>
      <c r="M17" s="69">
        <v>254421</v>
      </c>
      <c r="N17" s="65">
        <f>K17/L17-1</f>
        <v>3.9121505989731888</v>
      </c>
      <c r="O17" s="61">
        <f>K17/M17-1</f>
        <v>-0.96615452340805197</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102</v>
      </c>
      <c r="G19" s="69">
        <f>L19-'Nov-21'!L19</f>
        <v>0</v>
      </c>
      <c r="H19" s="69">
        <f>M19-'Nov-21'!M19</f>
        <v>131</v>
      </c>
      <c r="I19" s="65" t="str">
        <f t="shared" si="0"/>
        <v>n/a</v>
      </c>
      <c r="J19" s="61">
        <f>F19/H19-1</f>
        <v>-0.22137404580152675</v>
      </c>
      <c r="K19" s="69">
        <v>411</v>
      </c>
      <c r="L19" s="69">
        <v>406</v>
      </c>
      <c r="M19" s="69">
        <v>1205</v>
      </c>
      <c r="N19" s="65">
        <f>K19/L19-1</f>
        <v>1.2315270935960632E-2</v>
      </c>
      <c r="O19" s="61">
        <f>K19/M19-1</f>
        <v>-0.65892116182572613</v>
      </c>
      <c r="P19" s="71">
        <v>406</v>
      </c>
      <c r="Q19" s="71">
        <v>1205</v>
      </c>
    </row>
    <row r="20" spans="1:33">
      <c r="A20" s="10"/>
      <c r="B20" s="13"/>
      <c r="C20" s="34"/>
      <c r="D20" s="27" t="s">
        <v>11</v>
      </c>
      <c r="E20" s="33"/>
      <c r="F20" s="69">
        <v>200450</v>
      </c>
      <c r="G20" s="69">
        <f>L20-'Nov-21'!L20</f>
        <v>0</v>
      </c>
      <c r="H20" s="69">
        <f>M20-'Nov-21'!M20</f>
        <v>386408</v>
      </c>
      <c r="I20" s="65" t="str">
        <f t="shared" si="0"/>
        <v>n/a</v>
      </c>
      <c r="J20" s="61">
        <f>F20/H20-1</f>
        <v>-0.48124780025258274</v>
      </c>
      <c r="K20" s="69">
        <v>687449</v>
      </c>
      <c r="L20" s="69">
        <v>833999</v>
      </c>
      <c r="M20" s="69">
        <v>3859183</v>
      </c>
      <c r="N20" s="65">
        <f>K20/L20-1</f>
        <v>-0.17571963515543787</v>
      </c>
      <c r="O20" s="61">
        <f>K20/M20-1</f>
        <v>-0.82186670080169821</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7</v>
      </c>
      <c r="G22" s="69">
        <f>L22-'Nov-21'!L22</f>
        <v>3</v>
      </c>
      <c r="H22" s="69">
        <f>M22-'Nov-21'!M22</f>
        <v>44</v>
      </c>
      <c r="I22" s="65">
        <f t="shared" si="0"/>
        <v>1.3333333333333335</v>
      </c>
      <c r="J22" s="61">
        <f>F22/H22-1</f>
        <v>-0.84090909090909094</v>
      </c>
      <c r="K22" s="69">
        <v>107</v>
      </c>
      <c r="L22" s="69">
        <v>32</v>
      </c>
      <c r="M22" s="69">
        <v>372</v>
      </c>
      <c r="N22" s="65">
        <f>K22/L22-1</f>
        <v>2.34375</v>
      </c>
      <c r="O22" s="61">
        <f>K22/M22-1</f>
        <v>-0.7123655913978495</v>
      </c>
      <c r="P22" s="71">
        <v>32</v>
      </c>
      <c r="Q22" s="71">
        <v>372</v>
      </c>
    </row>
    <row r="23" spans="1:33">
      <c r="A23" s="10"/>
      <c r="B23" s="13"/>
      <c r="C23" s="34"/>
      <c r="D23" s="27" t="s">
        <v>11</v>
      </c>
      <c r="E23" s="33"/>
      <c r="F23" s="69">
        <v>13748</v>
      </c>
      <c r="G23" s="69">
        <f>L23-'Nov-21'!L23</f>
        <v>1045</v>
      </c>
      <c r="H23" s="69">
        <f>M23-'Nov-21'!M23</f>
        <v>52611</v>
      </c>
      <c r="I23" s="65">
        <f t="shared" si="0"/>
        <v>12.15598086124402</v>
      </c>
      <c r="J23" s="61">
        <f>F23/H23-1</f>
        <v>-0.7386858261580278</v>
      </c>
      <c r="K23" s="69">
        <v>147132</v>
      </c>
      <c r="L23" s="69">
        <v>59180</v>
      </c>
      <c r="M23" s="69">
        <v>902015</v>
      </c>
      <c r="N23" s="65">
        <f>K23/L23-1</f>
        <v>1.4861777627576882</v>
      </c>
      <c r="O23" s="61">
        <f>K23/M23-1</f>
        <v>-0.83688519592246247</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0</v>
      </c>
      <c r="G25" s="69">
        <f>L25-'Nov-21'!L25</f>
        <v>5</v>
      </c>
      <c r="H25" s="69">
        <f>M25-'Nov-21'!M25</f>
        <v>20</v>
      </c>
      <c r="I25" s="65">
        <f t="shared" si="0"/>
        <v>-1</v>
      </c>
      <c r="J25" s="61">
        <f>F25/H25-1</f>
        <v>-1</v>
      </c>
      <c r="K25" s="69">
        <v>124</v>
      </c>
      <c r="L25" s="69">
        <v>37</v>
      </c>
      <c r="M25" s="69">
        <f>282+81</f>
        <v>363</v>
      </c>
      <c r="N25" s="65">
        <f>K25/L25-1</f>
        <v>2.3513513513513513</v>
      </c>
      <c r="O25" s="61">
        <f>K25/M25-1</f>
        <v>-0.6584022038567493</v>
      </c>
      <c r="P25" s="71">
        <v>37</v>
      </c>
      <c r="Q25" s="71">
        <f>282+81</f>
        <v>363</v>
      </c>
    </row>
    <row r="26" spans="1:33">
      <c r="A26" s="10"/>
      <c r="B26" s="13"/>
      <c r="C26" s="34"/>
      <c r="D26" s="27" t="s">
        <v>11</v>
      </c>
      <c r="E26" s="33"/>
      <c r="F26" s="69">
        <v>0</v>
      </c>
      <c r="G26" s="69">
        <f>L26-'Nov-21'!L26</f>
        <v>1063</v>
      </c>
      <c r="H26" s="69">
        <f>M26-'Nov-21'!M26</f>
        <v>24347</v>
      </c>
      <c r="I26" s="65">
        <f t="shared" si="0"/>
        <v>-1</v>
      </c>
      <c r="J26" s="61">
        <f>F26/H26-1</f>
        <v>-1</v>
      </c>
      <c r="K26" s="69">
        <v>165083</v>
      </c>
      <c r="L26" s="69">
        <f>20768+8294</f>
        <v>29062</v>
      </c>
      <c r="M26" s="71">
        <f>659951+168729+38484</f>
        <v>867164</v>
      </c>
      <c r="N26" s="65">
        <f>K26/L26-1</f>
        <v>4.6803729956644418</v>
      </c>
      <c r="O26" s="61">
        <f>K26/M26-1</f>
        <v>-0.80962885913160598</v>
      </c>
      <c r="P26" s="71">
        <f>20768+8294</f>
        <v>29062</v>
      </c>
      <c r="Q26" s="71">
        <f>659951+168729+38484</f>
        <v>867164</v>
      </c>
    </row>
    <row r="27" spans="1:33" ht="15.75" thickBot="1">
      <c r="A27" s="10"/>
      <c r="B27" s="13"/>
      <c r="C27" s="36" t="s">
        <v>12</v>
      </c>
      <c r="D27" s="37"/>
      <c r="E27" s="38"/>
      <c r="F27" s="47">
        <f t="shared" ref="F27:H28" si="1">F10+F13+F16+F19+F22+F25</f>
        <v>207</v>
      </c>
      <c r="G27" s="47">
        <f t="shared" si="1"/>
        <v>8</v>
      </c>
      <c r="H27" s="47">
        <f t="shared" si="1"/>
        <v>293</v>
      </c>
      <c r="I27" s="67">
        <f>F27/G27-1</f>
        <v>24.875</v>
      </c>
      <c r="J27" s="63">
        <f>F27/H27-1</f>
        <v>-0.29351535836177478</v>
      </c>
      <c r="K27" s="47">
        <f t="shared" ref="K27:L27" si="2">K10+K13+K16+K19+K22+K25</f>
        <v>1059</v>
      </c>
      <c r="L27" s="47">
        <f t="shared" si="2"/>
        <v>667</v>
      </c>
      <c r="M27" s="47">
        <f>M10+M13+M16+M19+M22+M25</f>
        <v>3344</v>
      </c>
      <c r="N27" s="67">
        <f>K27/L27-1</f>
        <v>0.58770614692653678</v>
      </c>
      <c r="O27" s="63">
        <f>K27/M27-1</f>
        <v>-0.68331339712918659</v>
      </c>
      <c r="P27" s="47">
        <f>P10+P13+P16+P19+P22+P25</f>
        <v>667</v>
      </c>
      <c r="Q27" s="47">
        <f>Q10+Q13+Q16+Q19+Q22+Q25</f>
        <v>3344</v>
      </c>
    </row>
    <row r="28" spans="1:33" s="23" customFormat="1" ht="16.5" thickTop="1" thickBot="1">
      <c r="A28" s="10"/>
      <c r="B28" s="13"/>
      <c r="C28" s="39" t="s">
        <v>13</v>
      </c>
      <c r="D28" s="40"/>
      <c r="E28" s="41"/>
      <c r="F28" s="48">
        <f t="shared" si="1"/>
        <v>307043</v>
      </c>
      <c r="G28" s="48">
        <f t="shared" si="1"/>
        <v>2108</v>
      </c>
      <c r="H28" s="48">
        <f t="shared" si="1"/>
        <v>652325</v>
      </c>
      <c r="I28" s="68">
        <f>F28/G28-1</f>
        <v>144.65607210626186</v>
      </c>
      <c r="J28" s="64">
        <f>F28/H28-1</f>
        <v>-0.52930977656842826</v>
      </c>
      <c r="K28" s="48">
        <f t="shared" ref="K28:L28" si="3">K11+K14+K17+K20+K23+K26</f>
        <v>1554247</v>
      </c>
      <c r="L28" s="48">
        <f t="shared" si="3"/>
        <v>1323431</v>
      </c>
      <c r="M28" s="48">
        <f>M11+M14+M17+M20+M23+M26</f>
        <v>9169021</v>
      </c>
      <c r="N28" s="68">
        <f>K28/L28-1</f>
        <v>0.17440727926125343</v>
      </c>
      <c r="O28" s="64">
        <f>K28/M28-1</f>
        <v>-0.83048931832526063</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6:8" s="10" customFormat="1" hidden="1">
      <c r="F33" s="42"/>
      <c r="G33" s="42"/>
      <c r="H33" s="42"/>
    </row>
    <row r="34" spans="6:8" s="10" customFormat="1" hidden="1">
      <c r="F34" s="42"/>
      <c r="G34" s="42"/>
      <c r="H34" s="42"/>
    </row>
    <row r="35" spans="6:8" s="10" customFormat="1" hidden="1">
      <c r="F35" s="42"/>
      <c r="G35" s="42"/>
      <c r="H35" s="42"/>
    </row>
    <row r="36" spans="6:8" s="10" customFormat="1" hidden="1">
      <c r="F36" s="42"/>
      <c r="G36" s="42"/>
      <c r="H36" s="42"/>
    </row>
    <row r="37" spans="6:8" s="10" customFormat="1" hidden="1">
      <c r="F37" s="42"/>
      <c r="G37" s="42"/>
      <c r="H37" s="42"/>
    </row>
    <row r="38" spans="6:8" s="10" customFormat="1" hidden="1">
      <c r="F38" s="42"/>
      <c r="G38" s="42"/>
      <c r="H38" s="42"/>
    </row>
    <row r="39" spans="6:8" s="10" customFormat="1" hidden="1">
      <c r="F39" s="42"/>
      <c r="G39" s="42"/>
      <c r="H39" s="42"/>
    </row>
    <row r="40" spans="6:8" s="10" customFormat="1" hidden="1">
      <c r="F40" s="42"/>
      <c r="G40" s="42"/>
      <c r="H40" s="42"/>
    </row>
    <row r="41" spans="6:8" s="10" customFormat="1" hidden="1">
      <c r="F41" s="42"/>
      <c r="G41" s="42"/>
      <c r="H41" s="42"/>
    </row>
    <row r="42" spans="6:8" s="10" customFormat="1" hidden="1">
      <c r="F42" s="42"/>
      <c r="G42" s="42"/>
      <c r="H42" s="42"/>
    </row>
    <row r="43" spans="6:8" s="10" customFormat="1" hidden="1">
      <c r="F43" s="42"/>
      <c r="G43" s="42"/>
      <c r="H43" s="42"/>
    </row>
    <row r="44" spans="6:8" s="10" customFormat="1" hidden="1">
      <c r="F44" s="42"/>
      <c r="G44" s="42"/>
      <c r="H44" s="42"/>
    </row>
    <row r="45" spans="6:8" s="10" customFormat="1" hidden="1">
      <c r="F45" s="42"/>
      <c r="G45" s="42"/>
      <c r="H45" s="42"/>
    </row>
    <row r="46" spans="6:8" s="10" customFormat="1" hidden="1">
      <c r="F46" s="42"/>
      <c r="G46" s="42"/>
      <c r="H46" s="42"/>
    </row>
    <row r="47" spans="6:8" s="10" customFormat="1" hidden="1">
      <c r="F47" s="42"/>
      <c r="G47" s="42"/>
      <c r="H47" s="42"/>
    </row>
    <row r="48" spans="6:8" s="10" customFormat="1"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26</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04" t="s">
        <v>27</v>
      </c>
      <c r="G6" s="106"/>
      <c r="H6" s="106"/>
      <c r="I6" s="107"/>
      <c r="J6" s="108"/>
      <c r="K6" s="104" t="s">
        <v>28</v>
      </c>
      <c r="L6" s="106"/>
      <c r="M6" s="106"/>
      <c r="N6" s="107"/>
      <c r="O6" s="108"/>
      <c r="P6" s="102" t="s">
        <v>9</v>
      </c>
      <c r="Q6" s="10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21</v>
      </c>
      <c r="G10" s="69">
        <v>0</v>
      </c>
      <c r="H10" s="70">
        <v>51</v>
      </c>
      <c r="I10" s="65" t="str">
        <f>IFERROR(F10/G10-1,"n/a")</f>
        <v>n/a</v>
      </c>
      <c r="J10" s="61">
        <f>F10/H10-1</f>
        <v>-0.58823529411764708</v>
      </c>
      <c r="K10" s="69">
        <v>41</v>
      </c>
      <c r="L10" s="69">
        <v>145</v>
      </c>
      <c r="M10" s="69">
        <v>317</v>
      </c>
      <c r="N10" s="65">
        <f>K10/L10-1</f>
        <v>-0.71724137931034482</v>
      </c>
      <c r="O10" s="61">
        <f>K10/M10-1</f>
        <v>-0.87066246056782337</v>
      </c>
      <c r="P10" s="71">
        <v>145</v>
      </c>
      <c r="Q10" s="71">
        <v>386</v>
      </c>
    </row>
    <row r="11" spans="1:33">
      <c r="A11" s="10"/>
      <c r="B11" s="13"/>
      <c r="C11" s="34"/>
      <c r="D11" s="27" t="s">
        <v>11</v>
      </c>
      <c r="E11" s="33"/>
      <c r="F11" s="69">
        <v>23175</v>
      </c>
      <c r="G11" s="69">
        <v>0</v>
      </c>
      <c r="H11" s="69">
        <v>89764</v>
      </c>
      <c r="I11" s="65" t="str">
        <f t="shared" ref="I11:I26" si="0">IFERROR(F11/G11-1,"n/a")</f>
        <v>n/a</v>
      </c>
      <c r="J11" s="61">
        <f>F11/H11-1</f>
        <v>-0.74182300253999378</v>
      </c>
      <c r="K11" s="69">
        <v>28096</v>
      </c>
      <c r="L11" s="69">
        <v>258885</v>
      </c>
      <c r="M11" s="69">
        <v>613093</v>
      </c>
      <c r="N11" s="65">
        <f>K11/L11-1</f>
        <v>-0.89147304787840165</v>
      </c>
      <c r="O11" s="61">
        <f>K11/M11-1</f>
        <v>-0.95417334727357839</v>
      </c>
      <c r="P11" s="71">
        <v>258885</v>
      </c>
      <c r="Q11" s="71">
        <v>733296</v>
      </c>
    </row>
    <row r="12" spans="1:33">
      <c r="A12" s="10"/>
      <c r="B12" s="13"/>
      <c r="C12" s="32" t="s">
        <v>74</v>
      </c>
      <c r="D12" s="27"/>
      <c r="E12" s="33"/>
      <c r="F12" s="46"/>
      <c r="G12" s="46"/>
      <c r="H12" s="46"/>
      <c r="I12" s="65"/>
      <c r="J12" s="62"/>
      <c r="K12" s="44"/>
      <c r="L12" s="44"/>
      <c r="M12" s="44"/>
      <c r="N12" s="66"/>
      <c r="O12" s="62"/>
      <c r="P12" s="45"/>
      <c r="Q12" s="45"/>
    </row>
    <row r="13" spans="1:33">
      <c r="A13" s="10"/>
      <c r="B13" s="13"/>
      <c r="C13" s="34"/>
      <c r="D13" s="27" t="s">
        <v>5</v>
      </c>
      <c r="E13" s="33"/>
      <c r="F13" s="69">
        <v>67</v>
      </c>
      <c r="G13" s="69">
        <v>0</v>
      </c>
      <c r="H13" s="69">
        <v>95</v>
      </c>
      <c r="I13" s="65" t="str">
        <f t="shared" si="0"/>
        <v>n/a</v>
      </c>
      <c r="J13" s="61">
        <f>F13/H13-1</f>
        <v>-0.29473684210526319</v>
      </c>
      <c r="K13" s="69">
        <v>258</v>
      </c>
      <c r="L13" s="69">
        <v>43</v>
      </c>
      <c r="M13" s="69">
        <v>807</v>
      </c>
      <c r="N13" s="65">
        <f>K13/L13-1</f>
        <v>5</v>
      </c>
      <c r="O13" s="61">
        <f>K13/M13-1</f>
        <v>-0.68029739776951681</v>
      </c>
      <c r="P13" s="71">
        <v>43</v>
      </c>
      <c r="Q13" s="71">
        <v>827</v>
      </c>
    </row>
    <row r="14" spans="1:33">
      <c r="A14" s="10"/>
      <c r="B14" s="13"/>
      <c r="C14" s="34"/>
      <c r="D14" s="27" t="s">
        <v>11</v>
      </c>
      <c r="E14" s="33"/>
      <c r="F14" s="69">
        <v>83507</v>
      </c>
      <c r="G14" s="69">
        <v>0</v>
      </c>
      <c r="H14" s="69">
        <v>263747</v>
      </c>
      <c r="I14" s="65" t="str">
        <f t="shared" si="0"/>
        <v>n/a</v>
      </c>
      <c r="J14" s="61">
        <f>F14/H14-1</f>
        <v>-0.68338218065039602</v>
      </c>
      <c r="K14" s="69">
        <v>425895</v>
      </c>
      <c r="L14" s="69">
        <v>140552</v>
      </c>
      <c r="M14" s="69">
        <v>2493999</v>
      </c>
      <c r="N14" s="65">
        <f>K14/L14-1</f>
        <v>2.0301596562126472</v>
      </c>
      <c r="O14" s="61">
        <f>K14/M14-1</f>
        <v>-0.82923208870572918</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9</v>
      </c>
      <c r="G16" s="69">
        <v>0</v>
      </c>
      <c r="H16" s="69">
        <v>10</v>
      </c>
      <c r="I16" s="65" t="str">
        <f t="shared" si="0"/>
        <v>n/a</v>
      </c>
      <c r="J16" s="61">
        <f>F16/H16-1</f>
        <v>-9.9999999999999978E-2</v>
      </c>
      <c r="K16" s="69">
        <v>20</v>
      </c>
      <c r="L16" s="69">
        <v>4</v>
      </c>
      <c r="M16" s="69">
        <v>182</v>
      </c>
      <c r="N16" s="65">
        <f>K16/L16-1</f>
        <v>4</v>
      </c>
      <c r="O16" s="61">
        <f>K16/M16-1</f>
        <v>-0.89010989010989006</v>
      </c>
      <c r="P16" s="71">
        <v>4</v>
      </c>
      <c r="Q16" s="71">
        <v>191</v>
      </c>
    </row>
    <row r="17" spans="1:33">
      <c r="A17" s="10"/>
      <c r="B17" s="13"/>
      <c r="C17" s="34"/>
      <c r="D17" s="27" t="s">
        <v>11</v>
      </c>
      <c r="E17" s="33"/>
      <c r="F17" s="69">
        <v>4212</v>
      </c>
      <c r="G17" s="69">
        <v>0</v>
      </c>
      <c r="H17" s="69">
        <v>13055</v>
      </c>
      <c r="I17" s="65" t="str">
        <f t="shared" si="0"/>
        <v>n/a</v>
      </c>
      <c r="J17" s="61">
        <f>F17/H17-1</f>
        <v>-0.67736499425507468</v>
      </c>
      <c r="K17" s="69">
        <v>7747</v>
      </c>
      <c r="L17" s="69">
        <v>1753</v>
      </c>
      <c r="M17" s="69">
        <v>244608</v>
      </c>
      <c r="N17" s="65">
        <f>K17/L17-1</f>
        <v>3.4192812321734172</v>
      </c>
      <c r="O17" s="61">
        <f>K17/M17-1</f>
        <v>-0.96832891810570376</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94</v>
      </c>
      <c r="G19" s="69">
        <v>0</v>
      </c>
      <c r="H19" s="69">
        <v>121</v>
      </c>
      <c r="I19" s="65" t="str">
        <f t="shared" si="0"/>
        <v>n/a</v>
      </c>
      <c r="J19" s="61">
        <f>F19/H19-1</f>
        <v>-0.22314049586776863</v>
      </c>
      <c r="K19" s="69">
        <v>309</v>
      </c>
      <c r="L19" s="69">
        <v>406</v>
      </c>
      <c r="M19" s="69">
        <v>1074</v>
      </c>
      <c r="N19" s="65">
        <f>K19/L19-1</f>
        <v>-0.23891625615763545</v>
      </c>
      <c r="O19" s="61">
        <f>K19/M19-1</f>
        <v>-0.71229050279329609</v>
      </c>
      <c r="P19" s="71">
        <v>406</v>
      </c>
      <c r="Q19" s="71">
        <v>1205</v>
      </c>
    </row>
    <row r="20" spans="1:33">
      <c r="A20" s="10"/>
      <c r="B20" s="13"/>
      <c r="C20" s="34"/>
      <c r="D20" s="27" t="s">
        <v>11</v>
      </c>
      <c r="E20" s="33"/>
      <c r="F20" s="69">
        <v>162789</v>
      </c>
      <c r="G20" s="69">
        <v>0</v>
      </c>
      <c r="H20" s="69">
        <v>331420</v>
      </c>
      <c r="I20" s="65" t="str">
        <f t="shared" si="0"/>
        <v>n/a</v>
      </c>
      <c r="J20" s="61">
        <f>F20/H20-1</f>
        <v>-0.50881359000663817</v>
      </c>
      <c r="K20" s="69">
        <v>486999</v>
      </c>
      <c r="L20" s="69">
        <v>833999</v>
      </c>
      <c r="M20" s="69">
        <v>3472775</v>
      </c>
      <c r="N20" s="65">
        <f>K20/L20-1</f>
        <v>-0.41606764516504213</v>
      </c>
      <c r="O20" s="61">
        <f>K20/M20-1</f>
        <v>-0.85976661315518565</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13</v>
      </c>
      <c r="G22" s="69">
        <v>5</v>
      </c>
      <c r="H22" s="69">
        <v>20</v>
      </c>
      <c r="I22" s="65">
        <f t="shared" si="0"/>
        <v>1.6</v>
      </c>
      <c r="J22" s="61">
        <f>F22/H22-1</f>
        <v>-0.35</v>
      </c>
      <c r="K22" s="69">
        <v>100</v>
      </c>
      <c r="L22" s="69">
        <v>29</v>
      </c>
      <c r="M22" s="69">
        <v>328</v>
      </c>
      <c r="N22" s="65">
        <f>K22/L22-1</f>
        <v>2.4482758620689653</v>
      </c>
      <c r="O22" s="61">
        <f>K22/M22-1</f>
        <v>-0.69512195121951215</v>
      </c>
      <c r="P22" s="71">
        <v>32</v>
      </c>
      <c r="Q22" s="71">
        <v>372</v>
      </c>
    </row>
    <row r="23" spans="1:33">
      <c r="A23" s="10"/>
      <c r="B23" s="13"/>
      <c r="C23" s="34"/>
      <c r="D23" s="27" t="s">
        <v>11</v>
      </c>
      <c r="E23" s="33"/>
      <c r="F23" s="69">
        <v>16166</v>
      </c>
      <c r="G23" s="69">
        <v>2473</v>
      </c>
      <c r="H23" s="69">
        <v>30720</v>
      </c>
      <c r="I23" s="65">
        <f t="shared" si="0"/>
        <v>5.5369995956328344</v>
      </c>
      <c r="J23" s="61">
        <f>F23/H23-1</f>
        <v>-0.47376302083333333</v>
      </c>
      <c r="K23" s="69">
        <v>133384</v>
      </c>
      <c r="L23" s="69">
        <v>58135</v>
      </c>
      <c r="M23" s="69">
        <v>849404</v>
      </c>
      <c r="N23" s="65">
        <f>K23/L23-1</f>
        <v>1.2943837619334309</v>
      </c>
      <c r="O23" s="61">
        <f>K23/M23-1</f>
        <v>-0.84296753959246717</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20</v>
      </c>
      <c r="G25" s="69">
        <v>8</v>
      </c>
      <c r="H25" s="69">
        <v>17</v>
      </c>
      <c r="I25" s="65">
        <f t="shared" si="0"/>
        <v>1.5</v>
      </c>
      <c r="J25" s="61">
        <f>F25/H25-1</f>
        <v>0.17647058823529416</v>
      </c>
      <c r="K25" s="69">
        <v>124</v>
      </c>
      <c r="L25" s="69">
        <v>32</v>
      </c>
      <c r="M25" s="69">
        <v>343</v>
      </c>
      <c r="N25" s="65">
        <f>K25/L25-1</f>
        <v>2.875</v>
      </c>
      <c r="O25" s="61">
        <f>K25/M25-1</f>
        <v>-0.63848396501457727</v>
      </c>
      <c r="P25" s="71">
        <v>37</v>
      </c>
      <c r="Q25" s="71">
        <v>363</v>
      </c>
    </row>
    <row r="26" spans="1:33">
      <c r="A26" s="10"/>
      <c r="B26" s="13"/>
      <c r="C26" s="34"/>
      <c r="D26" s="27" t="s">
        <v>11</v>
      </c>
      <c r="E26" s="33"/>
      <c r="F26" s="69">
        <v>14810</v>
      </c>
      <c r="G26" s="69">
        <v>2381</v>
      </c>
      <c r="H26" s="69">
        <v>16811</v>
      </c>
      <c r="I26" s="65">
        <f t="shared" si="0"/>
        <v>5.2200755984880303</v>
      </c>
      <c r="J26" s="61">
        <f>F26/H26-1</f>
        <v>-0.11902920706680153</v>
      </c>
      <c r="K26" s="69">
        <v>165083</v>
      </c>
      <c r="L26" s="69">
        <v>27999</v>
      </c>
      <c r="M26" s="69">
        <v>842817</v>
      </c>
      <c r="N26" s="65">
        <f>K26/L26-1</f>
        <v>4.8960320011428982</v>
      </c>
      <c r="O26" s="61">
        <f>K26/M26-1</f>
        <v>-0.80412948481105628</v>
      </c>
      <c r="P26" s="71">
        <v>29062</v>
      </c>
      <c r="Q26" s="71">
        <v>867164</v>
      </c>
    </row>
    <row r="27" spans="1:33" ht="15.75" thickBot="1">
      <c r="A27" s="10"/>
      <c r="B27" s="13"/>
      <c r="C27" s="36" t="s">
        <v>12</v>
      </c>
      <c r="D27" s="37"/>
      <c r="E27" s="38"/>
      <c r="F27" s="47">
        <f t="shared" ref="F27:H28" si="1">F10+F13+F16+F19+F22+F25</f>
        <v>224</v>
      </c>
      <c r="G27" s="47">
        <f t="shared" si="1"/>
        <v>13</v>
      </c>
      <c r="H27" s="47">
        <f t="shared" si="1"/>
        <v>314</v>
      </c>
      <c r="I27" s="67">
        <f>F27/G27-1</f>
        <v>16.23076923076923</v>
      </c>
      <c r="J27" s="63">
        <f>F27/H27-1</f>
        <v>-0.2866242038216561</v>
      </c>
      <c r="K27" s="47">
        <f t="shared" ref="K27:M28" si="2">K10+K13+K16+K19+K22+K25</f>
        <v>852</v>
      </c>
      <c r="L27" s="47">
        <f t="shared" si="2"/>
        <v>659</v>
      </c>
      <c r="M27" s="47">
        <f t="shared" si="2"/>
        <v>3051</v>
      </c>
      <c r="N27" s="67">
        <f>K27/L27-1</f>
        <v>0.2928679817905917</v>
      </c>
      <c r="O27" s="63">
        <f>K27/M27-1</f>
        <v>-0.72074729596853493</v>
      </c>
      <c r="P27" s="47">
        <f>P10+P13+P16+P19+P22+P25</f>
        <v>667</v>
      </c>
      <c r="Q27" s="47">
        <f>Q10+Q13+Q16+Q19+Q22+Q25</f>
        <v>3344</v>
      </c>
    </row>
    <row r="28" spans="1:33" s="23" customFormat="1" ht="16.5" thickTop="1" thickBot="1">
      <c r="A28" s="10"/>
      <c r="B28" s="13"/>
      <c r="C28" s="39" t="s">
        <v>13</v>
      </c>
      <c r="D28" s="40"/>
      <c r="E28" s="41"/>
      <c r="F28" s="48">
        <f t="shared" si="1"/>
        <v>304659</v>
      </c>
      <c r="G28" s="48">
        <f t="shared" si="1"/>
        <v>4854</v>
      </c>
      <c r="H28" s="48">
        <f t="shared" si="1"/>
        <v>745517</v>
      </c>
      <c r="I28" s="68">
        <f>F28/G28-1</f>
        <v>61.764524103831889</v>
      </c>
      <c r="J28" s="64">
        <f>F28/H28-1</f>
        <v>-0.59134533484816576</v>
      </c>
      <c r="K28" s="48">
        <f t="shared" si="2"/>
        <v>1247204</v>
      </c>
      <c r="L28" s="48">
        <f t="shared" si="2"/>
        <v>1321323</v>
      </c>
      <c r="M28" s="48">
        <f t="shared" si="2"/>
        <v>8516696</v>
      </c>
      <c r="N28" s="68">
        <f>K28/L28-1</f>
        <v>-5.6094535552624114E-2</v>
      </c>
      <c r="O28" s="64">
        <f>K28/M28-1</f>
        <v>-0.85355776465427435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25</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04" t="s">
        <v>24</v>
      </c>
      <c r="G6" s="106"/>
      <c r="H6" s="106"/>
      <c r="I6" s="107"/>
      <c r="J6" s="108"/>
      <c r="K6" s="104" t="s">
        <v>8</v>
      </c>
      <c r="L6" s="106"/>
      <c r="M6" s="106"/>
      <c r="N6" s="107"/>
      <c r="O6" s="108"/>
      <c r="P6" s="102" t="s">
        <v>9</v>
      </c>
      <c r="Q6" s="10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4</v>
      </c>
      <c r="G10" s="69">
        <v>0</v>
      </c>
      <c r="H10" s="69">
        <v>13</v>
      </c>
      <c r="I10" s="65" t="str">
        <f>IFERROR(F10/G10-1,"n/a")</f>
        <v>n/a</v>
      </c>
      <c r="J10" s="61">
        <f>F10/H10-1</f>
        <v>-0.69230769230769229</v>
      </c>
      <c r="K10" s="69">
        <v>20</v>
      </c>
      <c r="L10" s="69">
        <v>145</v>
      </c>
      <c r="M10" s="69">
        <v>266</v>
      </c>
      <c r="N10" s="65">
        <f>K10/L10-1</f>
        <v>-0.86206896551724133</v>
      </c>
      <c r="O10" s="61">
        <f>K10/M10-1</f>
        <v>-0.92481203007518797</v>
      </c>
      <c r="P10" s="71">
        <v>145</v>
      </c>
      <c r="Q10" s="71">
        <v>386</v>
      </c>
    </row>
    <row r="11" spans="1:33">
      <c r="A11" s="10"/>
      <c r="B11" s="13"/>
      <c r="C11" s="34"/>
      <c r="D11" s="27" t="s">
        <v>11</v>
      </c>
      <c r="E11" s="33"/>
      <c r="F11" s="69">
        <v>720</v>
      </c>
      <c r="G11" s="69">
        <v>0</v>
      </c>
      <c r="H11" s="69">
        <v>31050</v>
      </c>
      <c r="I11" s="65" t="str">
        <f t="shared" ref="I11:I26" si="0">IFERROR(F11/G11-1,"n/a")</f>
        <v>n/a</v>
      </c>
      <c r="J11" s="61">
        <f>F11/H11-1</f>
        <v>-0.97681159420289854</v>
      </c>
      <c r="K11" s="69">
        <v>4921</v>
      </c>
      <c r="L11" s="69">
        <v>258885</v>
      </c>
      <c r="M11" s="69">
        <v>523329</v>
      </c>
      <c r="N11" s="65">
        <f>K11/L11-1</f>
        <v>-0.98099155995905518</v>
      </c>
      <c r="O11" s="61">
        <f>K11/M11-1</f>
        <v>-0.99059673742521437</v>
      </c>
      <c r="P11" s="71">
        <v>258885</v>
      </c>
      <c r="Q11" s="71">
        <v>733296</v>
      </c>
    </row>
    <row r="12" spans="1:33">
      <c r="A12" s="10"/>
      <c r="B12" s="13"/>
      <c r="C12" s="32" t="s">
        <v>20</v>
      </c>
      <c r="D12" s="27"/>
      <c r="E12" s="33"/>
      <c r="F12" s="46"/>
      <c r="G12" s="46"/>
      <c r="H12" s="46"/>
      <c r="I12" s="65"/>
      <c r="J12" s="62"/>
      <c r="K12" s="44"/>
      <c r="L12" s="44"/>
      <c r="M12" s="44"/>
      <c r="N12" s="66"/>
      <c r="O12" s="62"/>
      <c r="P12" s="45"/>
      <c r="Q12" s="45"/>
    </row>
    <row r="13" spans="1:33">
      <c r="A13" s="10"/>
      <c r="B13" s="13"/>
      <c r="C13" s="34"/>
      <c r="D13" s="27" t="s">
        <v>5</v>
      </c>
      <c r="E13" s="33"/>
      <c r="F13" s="69">
        <v>107</v>
      </c>
      <c r="G13" s="69">
        <v>0</v>
      </c>
      <c r="H13" s="69">
        <v>127</v>
      </c>
      <c r="I13" s="65" t="str">
        <f t="shared" si="0"/>
        <v>n/a</v>
      </c>
      <c r="J13" s="61">
        <f>F13/H13-1</f>
        <v>-0.15748031496062997</v>
      </c>
      <c r="K13" s="69">
        <v>191</v>
      </c>
      <c r="L13" s="69">
        <v>43</v>
      </c>
      <c r="M13" s="69">
        <v>712</v>
      </c>
      <c r="N13" s="65">
        <f>K13/L13-1</f>
        <v>3.441860465116279</v>
      </c>
      <c r="O13" s="61">
        <f>K13/M13-1</f>
        <v>-0.73174157303370779</v>
      </c>
      <c r="P13" s="71">
        <v>43</v>
      </c>
      <c r="Q13" s="71">
        <v>827</v>
      </c>
    </row>
    <row r="14" spans="1:33">
      <c r="A14" s="10"/>
      <c r="B14" s="13"/>
      <c r="C14" s="34"/>
      <c r="D14" s="27" t="s">
        <v>11</v>
      </c>
      <c r="E14" s="33"/>
      <c r="F14" s="69">
        <v>174505</v>
      </c>
      <c r="G14" s="69">
        <v>0</v>
      </c>
      <c r="H14" s="69">
        <v>332808</v>
      </c>
      <c r="I14" s="65" t="str">
        <f t="shared" si="0"/>
        <v>n/a</v>
      </c>
      <c r="J14" s="61">
        <f>F14/H14-1</f>
        <v>-0.47565863801350927</v>
      </c>
      <c r="K14" s="69">
        <v>342388</v>
      </c>
      <c r="L14" s="69">
        <v>140552</v>
      </c>
      <c r="M14" s="69">
        <v>2230252</v>
      </c>
      <c r="N14" s="65">
        <f>K14/L14-1</f>
        <v>1.4360236780693265</v>
      </c>
      <c r="O14" s="61">
        <f>K14/M14-1</f>
        <v>-0.84648012870294476</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9</v>
      </c>
      <c r="G16" s="69">
        <v>0</v>
      </c>
      <c r="H16" s="69">
        <v>21</v>
      </c>
      <c r="I16" s="65" t="str">
        <f t="shared" si="0"/>
        <v>n/a</v>
      </c>
      <c r="J16" s="61">
        <f>F16/H16-1</f>
        <v>-0.5714285714285714</v>
      </c>
      <c r="K16" s="69">
        <v>11</v>
      </c>
      <c r="L16" s="69">
        <v>4</v>
      </c>
      <c r="M16" s="69">
        <v>172</v>
      </c>
      <c r="N16" s="65">
        <f>K16/L16-1</f>
        <v>1.75</v>
      </c>
      <c r="O16" s="61">
        <f>K16/M16-1</f>
        <v>-0.93604651162790697</v>
      </c>
      <c r="P16" s="71">
        <v>4</v>
      </c>
      <c r="Q16" s="71">
        <v>191</v>
      </c>
    </row>
    <row r="17" spans="1:33">
      <c r="A17" s="10"/>
      <c r="B17" s="13"/>
      <c r="C17" s="34"/>
      <c r="D17" s="27" t="s">
        <v>11</v>
      </c>
      <c r="E17" s="33"/>
      <c r="F17" s="69">
        <v>3111</v>
      </c>
      <c r="G17" s="69">
        <v>0</v>
      </c>
      <c r="H17" s="69">
        <v>28163</v>
      </c>
      <c r="I17" s="65" t="str">
        <f t="shared" si="0"/>
        <v>n/a</v>
      </c>
      <c r="J17" s="61">
        <f>F17/H17-1</f>
        <v>-0.88953591591804848</v>
      </c>
      <c r="K17" s="69">
        <v>3535</v>
      </c>
      <c r="L17" s="69">
        <v>1753</v>
      </c>
      <c r="M17" s="69">
        <v>231553</v>
      </c>
      <c r="N17" s="65">
        <f>K17/L17-1</f>
        <v>1.0165430690245292</v>
      </c>
      <c r="O17" s="61">
        <f>K17/M17-1</f>
        <v>-0.98473351673267029</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85</v>
      </c>
      <c r="G19" s="69">
        <v>0</v>
      </c>
      <c r="H19" s="69">
        <v>97</v>
      </c>
      <c r="I19" s="65" t="str">
        <f t="shared" si="0"/>
        <v>n/a</v>
      </c>
      <c r="J19" s="61">
        <f>F19/H19-1</f>
        <v>-0.12371134020618557</v>
      </c>
      <c r="K19" s="69">
        <v>215</v>
      </c>
      <c r="L19" s="69">
        <v>406</v>
      </c>
      <c r="M19" s="69">
        <v>953</v>
      </c>
      <c r="N19" s="65">
        <f>K19/L19-1</f>
        <v>-0.47044334975369462</v>
      </c>
      <c r="O19" s="61">
        <f>K19/M19-1</f>
        <v>-0.77439664218258131</v>
      </c>
      <c r="P19" s="71">
        <v>406</v>
      </c>
      <c r="Q19" s="71">
        <v>1205</v>
      </c>
    </row>
    <row r="20" spans="1:33">
      <c r="A20" s="10"/>
      <c r="B20" s="13"/>
      <c r="C20" s="34"/>
      <c r="D20" s="27" t="s">
        <v>11</v>
      </c>
      <c r="E20" s="33"/>
      <c r="F20" s="69">
        <v>142400</v>
      </c>
      <c r="G20" s="69">
        <v>0</v>
      </c>
      <c r="H20" s="69">
        <v>268813</v>
      </c>
      <c r="I20" s="65" t="str">
        <f t="shared" si="0"/>
        <v>n/a</v>
      </c>
      <c r="J20" s="61">
        <f>F20/H20-1</f>
        <v>-0.47026371492450147</v>
      </c>
      <c r="K20" s="69">
        <v>324210</v>
      </c>
      <c r="L20" s="69">
        <v>833999</v>
      </c>
      <c r="M20" s="69">
        <v>3141355</v>
      </c>
      <c r="N20" s="65">
        <f>K20/L20-1</f>
        <v>-0.61125852668888092</v>
      </c>
      <c r="O20" s="61">
        <f>K20/M20-1</f>
        <v>-0.8967929444459477</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16</v>
      </c>
      <c r="G22" s="69">
        <v>8</v>
      </c>
      <c r="H22" s="69">
        <v>64</v>
      </c>
      <c r="I22" s="65">
        <f t="shared" si="0"/>
        <v>1</v>
      </c>
      <c r="J22" s="61">
        <f>F22/H22-1</f>
        <v>-0.75</v>
      </c>
      <c r="K22" s="69">
        <v>87</v>
      </c>
      <c r="L22" s="69">
        <v>24</v>
      </c>
      <c r="M22" s="69">
        <v>308</v>
      </c>
      <c r="N22" s="65">
        <f>K22/L22-1</f>
        <v>2.625</v>
      </c>
      <c r="O22" s="61">
        <f>K22/M22-1</f>
        <v>-0.71753246753246747</v>
      </c>
      <c r="P22" s="71">
        <v>32</v>
      </c>
      <c r="Q22" s="71">
        <v>372</v>
      </c>
    </row>
    <row r="23" spans="1:33">
      <c r="A23" s="10"/>
      <c r="B23" s="13"/>
      <c r="C23" s="34"/>
      <c r="D23" s="27" t="s">
        <v>11</v>
      </c>
      <c r="E23" s="33"/>
      <c r="F23" s="69">
        <v>16203</v>
      </c>
      <c r="G23" s="69">
        <v>8362</v>
      </c>
      <c r="H23" s="69">
        <v>130501</v>
      </c>
      <c r="I23" s="65">
        <f t="shared" si="0"/>
        <v>0.93769433149964132</v>
      </c>
      <c r="J23" s="61">
        <f>F23/H23-1</f>
        <v>-0.87584003187715043</v>
      </c>
      <c r="K23" s="69">
        <v>117218</v>
      </c>
      <c r="L23" s="69">
        <v>55662</v>
      </c>
      <c r="M23" s="69">
        <v>818684</v>
      </c>
      <c r="N23" s="65">
        <f>K23/L23-1</f>
        <v>1.1058891164528761</v>
      </c>
      <c r="O23" s="61">
        <f>K23/M23-1</f>
        <v>-0.85682143537677535</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28</v>
      </c>
      <c r="G25" s="69">
        <v>12</v>
      </c>
      <c r="H25" s="69">
        <v>71</v>
      </c>
      <c r="I25" s="65">
        <f t="shared" si="0"/>
        <v>1.3333333333333335</v>
      </c>
      <c r="J25" s="61">
        <f>F25/H25-1</f>
        <v>-0.60563380281690149</v>
      </c>
      <c r="K25" s="69">
        <v>104</v>
      </c>
      <c r="L25" s="69">
        <v>24</v>
      </c>
      <c r="M25" s="69">
        <v>326</v>
      </c>
      <c r="N25" s="65">
        <f>K25/L25-1</f>
        <v>3.333333333333333</v>
      </c>
      <c r="O25" s="61">
        <f>K25/M25-1</f>
        <v>-0.68098159509202461</v>
      </c>
      <c r="P25" s="71">
        <v>37</v>
      </c>
      <c r="Q25" s="71">
        <v>363</v>
      </c>
    </row>
    <row r="26" spans="1:33">
      <c r="A26" s="10"/>
      <c r="B26" s="13"/>
      <c r="C26" s="34"/>
      <c r="D26" s="27" t="s">
        <v>11</v>
      </c>
      <c r="E26" s="33"/>
      <c r="F26" s="69">
        <v>32614</v>
      </c>
      <c r="G26" s="69">
        <v>5592</v>
      </c>
      <c r="H26" s="69">
        <v>138907</v>
      </c>
      <c r="I26" s="65">
        <f t="shared" si="0"/>
        <v>4.8322603719599426</v>
      </c>
      <c r="J26" s="61">
        <f>F26/H26-1</f>
        <v>-0.76520981663991017</v>
      </c>
      <c r="K26" s="69">
        <v>150273</v>
      </c>
      <c r="L26" s="69">
        <v>25618</v>
      </c>
      <c r="M26" s="69">
        <v>826006</v>
      </c>
      <c r="N26" s="65">
        <f>K26/L26-1</f>
        <v>4.8659145913029898</v>
      </c>
      <c r="O26" s="61">
        <f>K26/M26-1</f>
        <v>-0.81807275007687597</v>
      </c>
      <c r="P26" s="71">
        <v>29062</v>
      </c>
      <c r="Q26" s="71">
        <v>867164</v>
      </c>
    </row>
    <row r="27" spans="1:33" ht="15.75" thickBot="1">
      <c r="A27" s="10"/>
      <c r="B27" s="13"/>
      <c r="C27" s="36" t="s">
        <v>12</v>
      </c>
      <c r="D27" s="37"/>
      <c r="E27" s="38"/>
      <c r="F27" s="47">
        <f t="shared" ref="F27:H28" si="1">F10+F13+F16+F19+F22+F25</f>
        <v>249</v>
      </c>
      <c r="G27" s="47">
        <f t="shared" si="1"/>
        <v>20</v>
      </c>
      <c r="H27" s="47">
        <f t="shared" si="1"/>
        <v>393</v>
      </c>
      <c r="I27" s="67">
        <f>F27/G27-1</f>
        <v>11.45</v>
      </c>
      <c r="J27" s="63">
        <f>F27/H27-1</f>
        <v>-0.36641221374045807</v>
      </c>
      <c r="K27" s="47">
        <f t="shared" ref="K27:M28" si="2">K10+K13+K16+K19+K22+K25</f>
        <v>628</v>
      </c>
      <c r="L27" s="47">
        <f t="shared" si="2"/>
        <v>646</v>
      </c>
      <c r="M27" s="47">
        <f t="shared" si="2"/>
        <v>2737</v>
      </c>
      <c r="N27" s="67">
        <f>K27/L27-1</f>
        <v>-2.786377708978327E-2</v>
      </c>
      <c r="O27" s="63">
        <f>K27/M27-1</f>
        <v>-0.77055169894044573</v>
      </c>
      <c r="P27" s="47">
        <f>P10+P13+P16+P19+P22+P25</f>
        <v>667</v>
      </c>
      <c r="Q27" s="47">
        <f>Q10+Q13+Q16+Q19+Q22+Q25</f>
        <v>3344</v>
      </c>
    </row>
    <row r="28" spans="1:33" s="23" customFormat="1" ht="16.5" thickTop="1" thickBot="1">
      <c r="A28" s="10"/>
      <c r="B28" s="13"/>
      <c r="C28" s="39" t="s">
        <v>13</v>
      </c>
      <c r="D28" s="40"/>
      <c r="E28" s="41"/>
      <c r="F28" s="48">
        <f t="shared" si="1"/>
        <v>369553</v>
      </c>
      <c r="G28" s="48">
        <f t="shared" si="1"/>
        <v>13954</v>
      </c>
      <c r="H28" s="48">
        <f t="shared" si="1"/>
        <v>930242</v>
      </c>
      <c r="I28" s="68">
        <f>F28/G28-1</f>
        <v>25.483660599111367</v>
      </c>
      <c r="J28" s="64">
        <f>F28/H28-1</f>
        <v>-0.60273455724424396</v>
      </c>
      <c r="K28" s="48">
        <f t="shared" si="2"/>
        <v>942545</v>
      </c>
      <c r="L28" s="48">
        <f t="shared" si="2"/>
        <v>1316469</v>
      </c>
      <c r="M28" s="48">
        <f t="shared" si="2"/>
        <v>7771179</v>
      </c>
      <c r="N28" s="68">
        <f>K28/L28-1</f>
        <v>-0.28403555267917435</v>
      </c>
      <c r="O28" s="64">
        <f>K28/M28-1</f>
        <v>-0.87871274101394392</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heetViews>
  <sheetFormatPr defaultColWidth="0" defaultRowHeight="15" customHeight="1" zeroHeight="1"/>
  <cols>
    <col min="1" max="3" width="2.5703125" customWidth="1"/>
    <col min="4" max="4" width="9.140625" customWidth="1"/>
    <col min="5" max="5" width="15.42578125" customWidth="1"/>
    <col min="6" max="6" width="11.28515625" bestFit="1" customWidth="1"/>
    <col min="7" max="7" width="9.140625" customWidth="1"/>
    <col min="8" max="8" width="11.140625" bestFit="1" customWidth="1"/>
    <col min="9" max="10" width="9.140625" customWidth="1"/>
    <col min="11" max="11" width="11" bestFit="1" customWidth="1"/>
    <col min="12" max="13" width="12.28515625" bestFit="1" customWidth="1"/>
    <col min="14" max="15" width="9.140625" customWidth="1"/>
    <col min="16" max="16" width="13"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21</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04" t="s">
        <v>22</v>
      </c>
      <c r="G6" s="106"/>
      <c r="H6" s="106"/>
      <c r="I6" s="107"/>
      <c r="J6" s="108"/>
      <c r="K6" s="104" t="s">
        <v>23</v>
      </c>
      <c r="L6" s="106"/>
      <c r="M6" s="106"/>
      <c r="N6" s="107"/>
      <c r="O6" s="108"/>
      <c r="P6" s="102" t="s">
        <v>9</v>
      </c>
      <c r="Q6" s="10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3</v>
      </c>
      <c r="G10" s="69">
        <v>0</v>
      </c>
      <c r="H10" s="69">
        <v>3</v>
      </c>
      <c r="I10" s="65" t="str">
        <f>IFERROR(F10/G10-1,"n/a")</f>
        <v>n/a</v>
      </c>
      <c r="J10" s="61">
        <f>F10/H10-1</f>
        <v>0</v>
      </c>
      <c r="K10" s="69">
        <v>16</v>
      </c>
      <c r="L10" s="69">
        <v>145</v>
      </c>
      <c r="M10" s="69">
        <v>253</v>
      </c>
      <c r="N10" s="65">
        <f>K10/L10-1</f>
        <v>-0.8896551724137931</v>
      </c>
      <c r="O10" s="61">
        <f>K10/M10-1</f>
        <v>-0.93675889328063244</v>
      </c>
      <c r="P10" s="71">
        <v>145</v>
      </c>
      <c r="Q10" s="71">
        <v>386</v>
      </c>
    </row>
    <row r="11" spans="1:33">
      <c r="A11" s="10"/>
      <c r="B11" s="13"/>
      <c r="C11" s="34"/>
      <c r="D11" s="27" t="s">
        <v>11</v>
      </c>
      <c r="E11" s="33"/>
      <c r="F11" s="69">
        <v>1618</v>
      </c>
      <c r="G11" s="69">
        <v>0</v>
      </c>
      <c r="H11" s="69">
        <v>11148</v>
      </c>
      <c r="I11" s="65" t="str">
        <f t="shared" ref="I11:I26" si="0">IFERROR(F11/G11-1,"n/a")</f>
        <v>n/a</v>
      </c>
      <c r="J11" s="61">
        <f>F11/H11-1</f>
        <v>-0.8548618586293506</v>
      </c>
      <c r="K11" s="69">
        <v>4201</v>
      </c>
      <c r="L11" s="69">
        <v>258885</v>
      </c>
      <c r="M11" s="69">
        <v>492279</v>
      </c>
      <c r="N11" s="65">
        <f>K11/L11-1</f>
        <v>-0.98377271761592988</v>
      </c>
      <c r="O11" s="61">
        <f>K11/M11-1</f>
        <v>-0.99146622139071539</v>
      </c>
      <c r="P11" s="71">
        <v>258885</v>
      </c>
      <c r="Q11" s="71">
        <v>733296</v>
      </c>
    </row>
    <row r="12" spans="1:33">
      <c r="A12" s="10"/>
      <c r="B12" s="13"/>
      <c r="C12" s="32" t="s">
        <v>20</v>
      </c>
      <c r="D12" s="27"/>
      <c r="E12" s="33"/>
      <c r="F12" s="46"/>
      <c r="G12" s="46"/>
      <c r="H12" s="46"/>
      <c r="I12" s="65"/>
      <c r="J12" s="62"/>
      <c r="K12" s="44"/>
      <c r="L12" s="44"/>
      <c r="M12" s="44"/>
      <c r="N12" s="66"/>
      <c r="O12" s="62"/>
      <c r="P12" s="45"/>
      <c r="Q12" s="45"/>
    </row>
    <row r="13" spans="1:33">
      <c r="A13" s="10"/>
      <c r="B13" s="13"/>
      <c r="C13" s="34"/>
      <c r="D13" s="27" t="s">
        <v>5</v>
      </c>
      <c r="E13" s="33"/>
      <c r="F13" s="69">
        <v>46</v>
      </c>
      <c r="G13" s="69">
        <v>0</v>
      </c>
      <c r="H13" s="69">
        <v>86</v>
      </c>
      <c r="I13" s="65" t="str">
        <f t="shared" si="0"/>
        <v>n/a</v>
      </c>
      <c r="J13" s="61">
        <f>F13/H13-1</f>
        <v>-0.46511627906976749</v>
      </c>
      <c r="K13" s="69">
        <v>84</v>
      </c>
      <c r="L13" s="69">
        <v>43</v>
      </c>
      <c r="M13" s="69">
        <v>585</v>
      </c>
      <c r="N13" s="65">
        <f>K13/L13-1</f>
        <v>0.95348837209302317</v>
      </c>
      <c r="O13" s="61">
        <f>K13/M13-1</f>
        <v>-0.85641025641025648</v>
      </c>
      <c r="P13" s="71">
        <v>43</v>
      </c>
      <c r="Q13" s="71">
        <v>827</v>
      </c>
    </row>
    <row r="14" spans="1:33">
      <c r="A14" s="10"/>
      <c r="B14" s="13"/>
      <c r="C14" s="34"/>
      <c r="D14" s="27" t="s">
        <v>11</v>
      </c>
      <c r="E14" s="33"/>
      <c r="F14" s="69">
        <v>89719</v>
      </c>
      <c r="G14" s="69">
        <v>0</v>
      </c>
      <c r="H14" s="69">
        <v>304036</v>
      </c>
      <c r="I14" s="65" t="str">
        <f t="shared" si="0"/>
        <v>n/a</v>
      </c>
      <c r="J14" s="61">
        <f>F14/H14-1</f>
        <v>-0.70490665579076162</v>
      </c>
      <c r="K14" s="69">
        <v>167883</v>
      </c>
      <c r="L14" s="69">
        <v>140552</v>
      </c>
      <c r="M14" s="69">
        <v>1897444</v>
      </c>
      <c r="N14" s="65">
        <f>K14/L14-1</f>
        <v>0.19445472138425646</v>
      </c>
      <c r="O14" s="61">
        <f>K14/M14-1</f>
        <v>-0.91152149944873206</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2</v>
      </c>
      <c r="G16" s="69">
        <v>0</v>
      </c>
      <c r="H16" s="69">
        <v>23</v>
      </c>
      <c r="I16" s="65" t="str">
        <f t="shared" si="0"/>
        <v>n/a</v>
      </c>
      <c r="J16" s="61">
        <f>F16/H16-1</f>
        <v>-0.91304347826086962</v>
      </c>
      <c r="K16" s="69">
        <v>2</v>
      </c>
      <c r="L16" s="69">
        <v>4</v>
      </c>
      <c r="M16" s="69">
        <v>151</v>
      </c>
      <c r="N16" s="65">
        <f>K16/L16-1</f>
        <v>-0.5</v>
      </c>
      <c r="O16" s="61">
        <f>K16/M16-1</f>
        <v>-0.98675496688741726</v>
      </c>
      <c r="P16" s="71">
        <v>4</v>
      </c>
      <c r="Q16" s="71">
        <v>191</v>
      </c>
    </row>
    <row r="17" spans="1:33">
      <c r="A17" s="10"/>
      <c r="B17" s="13"/>
      <c r="C17" s="34"/>
      <c r="D17" s="27" t="s">
        <v>11</v>
      </c>
      <c r="E17" s="33"/>
      <c r="F17" s="69">
        <f>424</f>
        <v>424</v>
      </c>
      <c r="G17" s="69">
        <v>0</v>
      </c>
      <c r="H17" s="69">
        <v>35836</v>
      </c>
      <c r="I17" s="65" t="str">
        <f t="shared" si="0"/>
        <v>n/a</v>
      </c>
      <c r="J17" s="61">
        <f>F17/H17-1</f>
        <v>-0.98816832235740593</v>
      </c>
      <c r="K17" s="69">
        <v>424</v>
      </c>
      <c r="L17" s="69">
        <v>1753</v>
      </c>
      <c r="M17" s="69">
        <v>203390</v>
      </c>
      <c r="N17" s="65">
        <f>K17/L17-1</f>
        <v>-0.75812892184826008</v>
      </c>
      <c r="O17" s="61">
        <f>K17/M17-1</f>
        <v>-0.99791533507055408</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57</v>
      </c>
      <c r="G19" s="69">
        <v>0</v>
      </c>
      <c r="H19" s="69">
        <v>76</v>
      </c>
      <c r="I19" s="65" t="str">
        <f t="shared" si="0"/>
        <v>n/a</v>
      </c>
      <c r="J19" s="61">
        <f>F19/H19-1</f>
        <v>-0.25</v>
      </c>
      <c r="K19" s="69">
        <v>130</v>
      </c>
      <c r="L19" s="69">
        <v>406</v>
      </c>
      <c r="M19" s="69">
        <v>856</v>
      </c>
      <c r="N19" s="65">
        <f>K19/L19-1</f>
        <v>-0.67980295566502469</v>
      </c>
      <c r="O19" s="61">
        <f>K19/M19-1</f>
        <v>-0.84813084112149539</v>
      </c>
      <c r="P19" s="71">
        <v>406</v>
      </c>
      <c r="Q19" s="71">
        <v>1205</v>
      </c>
    </row>
    <row r="20" spans="1:33">
      <c r="A20" s="10"/>
      <c r="B20" s="13"/>
      <c r="C20" s="34"/>
      <c r="D20" s="27" t="s">
        <v>11</v>
      </c>
      <c r="E20" s="33"/>
      <c r="F20" s="69">
        <v>81777</v>
      </c>
      <c r="G20" s="69">
        <v>0</v>
      </c>
      <c r="H20" s="69">
        <v>223305</v>
      </c>
      <c r="I20" s="65" t="str">
        <f t="shared" si="0"/>
        <v>n/a</v>
      </c>
      <c r="J20" s="61">
        <f>F20/H20-1</f>
        <v>-0.63378786861019676</v>
      </c>
      <c r="K20" s="69">
        <v>181810</v>
      </c>
      <c r="L20" s="69">
        <v>833999</v>
      </c>
      <c r="M20" s="69">
        <v>2872542</v>
      </c>
      <c r="N20" s="65">
        <f>K20/L20-1</f>
        <v>-0.7820021366932095</v>
      </c>
      <c r="O20" s="61">
        <f>K20/M20-1</f>
        <v>-0.93670762690327936</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17</v>
      </c>
      <c r="G22" s="69">
        <v>5</v>
      </c>
      <c r="H22" s="69">
        <v>40</v>
      </c>
      <c r="I22" s="65">
        <f t="shared" si="0"/>
        <v>2.4</v>
      </c>
      <c r="J22" s="61">
        <f>F22/H22-1</f>
        <v>-0.57499999999999996</v>
      </c>
      <c r="K22" s="69">
        <v>71</v>
      </c>
      <c r="L22" s="69">
        <v>16</v>
      </c>
      <c r="M22" s="69">
        <v>244</v>
      </c>
      <c r="N22" s="65">
        <f>K22/L22-1</f>
        <v>3.4375</v>
      </c>
      <c r="O22" s="61">
        <f>K22/M22-1</f>
        <v>-0.70901639344262302</v>
      </c>
      <c r="P22" s="71">
        <v>32</v>
      </c>
      <c r="Q22" s="71">
        <v>372</v>
      </c>
    </row>
    <row r="23" spans="1:33">
      <c r="A23" s="10"/>
      <c r="B23" s="13"/>
      <c r="C23" s="34"/>
      <c r="D23" s="27" t="s">
        <v>11</v>
      </c>
      <c r="E23" s="33"/>
      <c r="F23" s="69">
        <v>31465</v>
      </c>
      <c r="G23" s="69">
        <v>4538</v>
      </c>
      <c r="H23" s="69">
        <v>102143</v>
      </c>
      <c r="I23" s="65">
        <f t="shared" si="0"/>
        <v>5.9336712208021156</v>
      </c>
      <c r="J23" s="61">
        <f>F23/H23-1</f>
        <v>-0.69195147978814009</v>
      </c>
      <c r="K23" s="69">
        <v>101015</v>
      </c>
      <c r="L23" s="69">
        <v>47300</v>
      </c>
      <c r="M23" s="69">
        <v>688183</v>
      </c>
      <c r="N23" s="65">
        <f>K23/L23-1</f>
        <v>1.1356236786469345</v>
      </c>
      <c r="O23" s="61">
        <f>K23/M23-1</f>
        <v>-0.8532149152187718</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23</v>
      </c>
      <c r="G25" s="69">
        <v>7</v>
      </c>
      <c r="H25" s="69">
        <v>41</v>
      </c>
      <c r="I25" s="65">
        <f t="shared" si="0"/>
        <v>2.2857142857142856</v>
      </c>
      <c r="J25" s="61">
        <f>F25/H25-1</f>
        <v>-0.43902439024390238</v>
      </c>
      <c r="K25" s="69">
        <v>76</v>
      </c>
      <c r="L25" s="69">
        <v>12</v>
      </c>
      <c r="M25" s="69">
        <v>255</v>
      </c>
      <c r="N25" s="65">
        <f>K25/L25-1</f>
        <v>5.333333333333333</v>
      </c>
      <c r="O25" s="61">
        <f>K25/M25-1</f>
        <v>-0.70196078431372544</v>
      </c>
      <c r="P25" s="71">
        <v>37</v>
      </c>
      <c r="Q25" s="71">
        <v>363</v>
      </c>
    </row>
    <row r="26" spans="1:33">
      <c r="A26" s="10"/>
      <c r="B26" s="13"/>
      <c r="C26" s="34"/>
      <c r="D26" s="27" t="s">
        <v>11</v>
      </c>
      <c r="E26" s="33"/>
      <c r="F26" s="69">
        <v>35845</v>
      </c>
      <c r="G26" s="69">
        <v>1534</v>
      </c>
      <c r="H26" s="69">
        <v>107800</v>
      </c>
      <c r="I26" s="65">
        <f t="shared" si="0"/>
        <v>22.367014341590611</v>
      </c>
      <c r="J26" s="61">
        <f>F26/H26-1</f>
        <v>-0.66748608534322817</v>
      </c>
      <c r="K26" s="69">
        <v>117659</v>
      </c>
      <c r="L26" s="69">
        <v>20026</v>
      </c>
      <c r="M26" s="69">
        <v>690353</v>
      </c>
      <c r="N26" s="65">
        <f>K26/L26-1</f>
        <v>4.8753120942774393</v>
      </c>
      <c r="O26" s="61">
        <f>K26/M26-1</f>
        <v>-0.8295669027294732</v>
      </c>
      <c r="P26" s="71">
        <v>29062</v>
      </c>
      <c r="Q26" s="71">
        <v>867164</v>
      </c>
    </row>
    <row r="27" spans="1:33" ht="15.75" thickBot="1">
      <c r="A27" s="10"/>
      <c r="B27" s="13"/>
      <c r="C27" s="36" t="s">
        <v>12</v>
      </c>
      <c r="D27" s="37"/>
      <c r="E27" s="38"/>
      <c r="F27" s="47">
        <f t="shared" ref="F27:H28" si="1">F10+F13+F16+F19+F22+F25</f>
        <v>148</v>
      </c>
      <c r="G27" s="47">
        <f t="shared" si="1"/>
        <v>12</v>
      </c>
      <c r="H27" s="47">
        <f t="shared" si="1"/>
        <v>269</v>
      </c>
      <c r="I27" s="67">
        <f>F27/G27-1</f>
        <v>11.333333333333334</v>
      </c>
      <c r="J27" s="63">
        <f>F27/H27-1</f>
        <v>-0.44981412639405205</v>
      </c>
      <c r="K27" s="47">
        <f t="shared" ref="K27:M28" si="2">K10+K13+K16+K19+K22+K25</f>
        <v>379</v>
      </c>
      <c r="L27" s="47">
        <f t="shared" si="2"/>
        <v>626</v>
      </c>
      <c r="M27" s="47">
        <f t="shared" si="2"/>
        <v>2344</v>
      </c>
      <c r="N27" s="67">
        <f>K27/L27-1</f>
        <v>-0.39456869009584661</v>
      </c>
      <c r="O27" s="63">
        <f>K27/M27-1</f>
        <v>-0.83831058020477811</v>
      </c>
      <c r="P27" s="47">
        <f>P10+P13+P16+P19+P22+P25</f>
        <v>667</v>
      </c>
      <c r="Q27" s="47">
        <f>Q10+Q13+Q16+Q19+Q22+Q25</f>
        <v>3344</v>
      </c>
    </row>
    <row r="28" spans="1:33" s="23" customFormat="1" ht="16.5" thickTop="1" thickBot="1">
      <c r="A28" s="10"/>
      <c r="B28" s="13"/>
      <c r="C28" s="39" t="s">
        <v>13</v>
      </c>
      <c r="D28" s="40"/>
      <c r="E28" s="41"/>
      <c r="F28" s="48">
        <f t="shared" si="1"/>
        <v>240848</v>
      </c>
      <c r="G28" s="48">
        <f t="shared" si="1"/>
        <v>6072</v>
      </c>
      <c r="H28" s="48">
        <f t="shared" si="1"/>
        <v>784268</v>
      </c>
      <c r="I28" s="68">
        <f>F28/G28-1</f>
        <v>38.665349143610015</v>
      </c>
      <c r="J28" s="64">
        <f>F28/H28-1</f>
        <v>-0.69290089612224393</v>
      </c>
      <c r="K28" s="48">
        <f t="shared" si="2"/>
        <v>572992</v>
      </c>
      <c r="L28" s="48">
        <f t="shared" si="2"/>
        <v>1302515</v>
      </c>
      <c r="M28" s="48">
        <f t="shared" si="2"/>
        <v>6844191</v>
      </c>
      <c r="N28" s="68">
        <f>K28/L28-1</f>
        <v>-0.56008798363166645</v>
      </c>
      <c r="O28" s="64">
        <f>K28/M28-1</f>
        <v>-0.91628053629713135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3" width="10.28515625" style="2" customWidth="1"/>
    <col min="24"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3</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5.75">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3.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3.5">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5.75">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3.5">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3.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3.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3.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3.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3.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3.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3.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3.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3.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3.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3.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3.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3.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3.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3.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3.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3.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3.5"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3.5"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3.5"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85" zoomScaleNormal="85" workbookViewId="0">
      <selection activeCell="B1" sqref="B1"/>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4</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T56"/>
  <sheetViews>
    <sheetView showGridLines="0" zoomScale="90" zoomScaleNormal="90" zoomScalePageLayoutView="40" workbookViewId="0">
      <selection activeCell="C2" sqref="C2"/>
    </sheetView>
  </sheetViews>
  <sheetFormatPr defaultColWidth="0" defaultRowHeight="0" customHeight="1" zeroHeight="1"/>
  <cols>
    <col min="1" max="2" width="2.5703125" customWidth="1"/>
    <col min="3" max="3" width="39" customWidth="1"/>
    <col min="4" max="4" width="1.7109375" customWidth="1"/>
    <col min="5" max="5" width="15.42578125" customWidth="1"/>
    <col min="6" max="17" width="10" style="101" customWidth="1"/>
    <col min="18" max="18" width="8.7109375" customWidth="1"/>
    <col min="19" max="19" width="11.28515625" bestFit="1" customWidth="1"/>
    <col min="20" max="20" width="3.28515625" style="10" customWidth="1"/>
    <col min="21" max="35" width="0" style="10" hidden="1" customWidth="1"/>
    <col min="36" max="46" width="0" hidden="1" customWidth="1"/>
    <col min="47" max="16384" width="9.140625" hidden="1"/>
  </cols>
  <sheetData>
    <row r="1" spans="1:35" ht="15">
      <c r="A1" s="10"/>
      <c r="B1" s="10"/>
      <c r="C1" s="10"/>
      <c r="D1" s="10"/>
      <c r="E1" s="10"/>
      <c r="F1" s="94"/>
      <c r="G1" s="94"/>
      <c r="H1" s="94"/>
      <c r="I1" s="94"/>
      <c r="J1" s="94"/>
      <c r="K1" s="94"/>
      <c r="L1" s="94"/>
      <c r="M1" s="94"/>
      <c r="N1" s="94"/>
      <c r="O1" s="94"/>
      <c r="P1" s="94"/>
      <c r="Q1" s="94"/>
      <c r="R1" s="10"/>
      <c r="S1" s="10"/>
    </row>
    <row r="2" spans="1:35" ht="19.5" thickBot="1">
      <c r="A2" s="10"/>
      <c r="B2" s="9" t="s">
        <v>87</v>
      </c>
      <c r="C2" s="24"/>
      <c r="D2" s="24"/>
      <c r="E2" s="24"/>
      <c r="F2" s="95"/>
      <c r="G2" s="95"/>
      <c r="H2" s="95"/>
      <c r="I2" s="95"/>
      <c r="J2" s="95"/>
      <c r="K2" s="95"/>
      <c r="L2" s="95"/>
      <c r="M2" s="95"/>
      <c r="N2" s="95"/>
      <c r="O2" s="95"/>
      <c r="P2" s="95"/>
      <c r="Q2" s="95"/>
      <c r="R2" s="24"/>
      <c r="S2" s="24"/>
    </row>
    <row r="3" spans="1:35" ht="15">
      <c r="A3" s="10"/>
      <c r="B3" s="11"/>
      <c r="C3" s="25"/>
      <c r="D3" s="25"/>
      <c r="E3" s="25"/>
      <c r="F3" s="96"/>
      <c r="G3" s="96"/>
      <c r="H3" s="96"/>
      <c r="I3" s="96"/>
      <c r="J3" s="96"/>
      <c r="K3" s="96"/>
      <c r="L3" s="96"/>
      <c r="M3" s="96"/>
      <c r="N3" s="96"/>
      <c r="O3" s="96"/>
      <c r="P3" s="96"/>
      <c r="Q3" s="96"/>
      <c r="R3" s="25"/>
      <c r="S3" s="26">
        <f>+' '!I17</f>
        <v>44813</v>
      </c>
    </row>
    <row r="4" spans="1:35" ht="15.75">
      <c r="A4" s="10"/>
      <c r="B4" s="12" t="s">
        <v>7</v>
      </c>
      <c r="C4" s="27"/>
      <c r="D4" s="25"/>
      <c r="E4" s="59" t="s">
        <v>56</v>
      </c>
      <c r="F4" s="96"/>
      <c r="G4" s="96"/>
      <c r="H4" s="96"/>
      <c r="I4" s="96"/>
      <c r="J4" s="96"/>
      <c r="K4" s="96"/>
      <c r="L4" s="96"/>
      <c r="M4" s="96"/>
      <c r="N4" s="96"/>
      <c r="O4" s="96"/>
      <c r="P4" s="96"/>
      <c r="Q4" s="96"/>
      <c r="R4" s="25"/>
      <c r="S4" s="25"/>
    </row>
    <row r="5" spans="1:35" ht="15">
      <c r="A5" s="10"/>
      <c r="B5" s="11"/>
      <c r="C5" s="25"/>
      <c r="D5" s="25"/>
      <c r="E5" s="25"/>
      <c r="F5" s="96"/>
      <c r="G5" s="96"/>
      <c r="H5" s="96"/>
      <c r="I5" s="96"/>
      <c r="J5" s="96"/>
      <c r="K5" s="96"/>
      <c r="L5" s="96"/>
      <c r="M5" s="96"/>
      <c r="N5" s="96"/>
      <c r="O5" s="96"/>
      <c r="P5" s="96"/>
      <c r="Q5" s="96"/>
      <c r="R5" s="25"/>
      <c r="S5" s="25"/>
    </row>
    <row r="6" spans="1:35" ht="15">
      <c r="A6" s="10"/>
      <c r="B6" s="87" t="s">
        <v>83</v>
      </c>
      <c r="D6" s="25"/>
      <c r="E6" s="25"/>
      <c r="F6" s="96"/>
      <c r="G6" s="96"/>
      <c r="H6" s="96"/>
      <c r="I6" s="96"/>
      <c r="J6" s="96"/>
      <c r="K6" s="96"/>
      <c r="L6" s="96"/>
      <c r="M6" s="96"/>
      <c r="N6" s="96"/>
      <c r="O6" s="96"/>
      <c r="P6" s="96"/>
      <c r="Q6" s="96"/>
      <c r="R6" s="25"/>
      <c r="S6" s="25"/>
    </row>
    <row r="7" spans="1:35" ht="15">
      <c r="A7" s="10"/>
      <c r="B7" s="11"/>
      <c r="C7" s="25"/>
      <c r="D7" s="25"/>
      <c r="E7" s="25"/>
      <c r="F7" s="96"/>
      <c r="G7" s="96"/>
      <c r="H7" s="96"/>
      <c r="I7" s="96"/>
      <c r="J7" s="96"/>
      <c r="K7" s="96"/>
      <c r="L7" s="96"/>
      <c r="M7" s="96"/>
      <c r="N7" s="96"/>
      <c r="O7" s="96"/>
      <c r="P7" s="96"/>
      <c r="Q7" s="96"/>
      <c r="R7" s="25"/>
      <c r="S7" s="25"/>
    </row>
    <row r="8" spans="1:35" s="21" customFormat="1" ht="15">
      <c r="A8" s="10"/>
      <c r="B8"/>
      <c r="C8" s="28" t="s">
        <v>7</v>
      </c>
      <c r="D8" s="29"/>
      <c r="E8" s="29"/>
      <c r="F8" s="97" t="s">
        <v>75</v>
      </c>
      <c r="G8" s="97" t="s">
        <v>76</v>
      </c>
      <c r="H8" s="97" t="s">
        <v>77</v>
      </c>
      <c r="I8" s="97" t="s">
        <v>45</v>
      </c>
      <c r="J8" s="97" t="s">
        <v>47</v>
      </c>
      <c r="K8" s="97" t="s">
        <v>51</v>
      </c>
      <c r="L8" s="97" t="s">
        <v>55</v>
      </c>
      <c r="M8" s="97" t="s">
        <v>78</v>
      </c>
      <c r="N8" s="97" t="s">
        <v>79</v>
      </c>
      <c r="O8" s="97" t="s">
        <v>80</v>
      </c>
      <c r="P8" s="97" t="s">
        <v>81</v>
      </c>
      <c r="Q8" s="97" t="s">
        <v>82</v>
      </c>
      <c r="R8"/>
      <c r="S8"/>
      <c r="T8" s="10"/>
      <c r="U8" s="20"/>
      <c r="V8" s="20"/>
      <c r="W8" s="20"/>
      <c r="X8" s="20"/>
      <c r="Y8" s="20"/>
      <c r="Z8" s="20"/>
      <c r="AA8" s="20"/>
      <c r="AB8" s="20"/>
      <c r="AC8" s="20"/>
      <c r="AD8" s="20"/>
      <c r="AE8" s="20"/>
      <c r="AF8" s="20"/>
      <c r="AG8" s="20"/>
      <c r="AH8" s="20"/>
      <c r="AI8" s="20"/>
    </row>
    <row r="9" spans="1:35" ht="20.25" customHeight="1">
      <c r="A9" s="10"/>
      <c r="B9" s="19"/>
      <c r="C9" s="92" t="s">
        <v>84</v>
      </c>
      <c r="D9" s="31"/>
      <c r="E9" s="31"/>
      <c r="F9" s="98">
        <v>0.41823087434338119</v>
      </c>
      <c r="G9" s="99">
        <v>0.47083755198064259</v>
      </c>
      <c r="H9" s="99">
        <v>0.6233573525072601</v>
      </c>
      <c r="I9" s="99">
        <v>0.66777314044950997</v>
      </c>
      <c r="J9" s="99">
        <v>0.65681540466649779</v>
      </c>
      <c r="K9" s="99">
        <v>0.78080882831305709</v>
      </c>
      <c r="L9" s="99">
        <v>0.89027550740676809</v>
      </c>
      <c r="M9" s="100"/>
      <c r="N9" s="100"/>
      <c r="O9" s="100"/>
      <c r="P9" s="100"/>
      <c r="Q9" s="100"/>
    </row>
    <row r="10" spans="1:35" ht="20.25" customHeight="1">
      <c r="A10" s="10"/>
      <c r="B10" s="10"/>
      <c r="C10" s="10"/>
      <c r="D10" s="10"/>
      <c r="E10" s="10"/>
      <c r="F10" s="94"/>
      <c r="G10" s="94"/>
      <c r="H10" s="94"/>
      <c r="I10" s="94"/>
      <c r="J10" s="94"/>
      <c r="K10" s="94"/>
      <c r="L10" s="94"/>
      <c r="M10" s="94"/>
      <c r="N10" s="94"/>
      <c r="O10" s="94"/>
      <c r="P10" s="94"/>
      <c r="Q10" s="94"/>
      <c r="R10" s="10"/>
    </row>
    <row r="11" spans="1:35" ht="26.65" customHeight="1">
      <c r="C11" s="93" t="s">
        <v>86</v>
      </c>
    </row>
    <row r="12" spans="1:35" ht="26.65" hidden="1" customHeight="1"/>
    <row r="13" spans="1:35" ht="26.45" hidden="1" customHeight="1"/>
    <row r="14" spans="1:35" ht="26.45" hidden="1" customHeight="1"/>
    <row r="15" spans="1:35" ht="26.65" hidden="1" customHeight="1"/>
    <row r="16" spans="1:35" ht="26.65" hidden="1" customHeight="1"/>
    <row r="17" ht="26.65" hidden="1" customHeight="1"/>
    <row r="18" ht="26.65" hidden="1" customHeight="1"/>
    <row r="19" ht="26.65" hidden="1" customHeight="1"/>
    <row r="20" ht="26.65" hidden="1" customHeight="1"/>
    <row r="21" ht="26.65" hidden="1" customHeight="1"/>
    <row r="22" ht="26.65" hidden="1" customHeight="1"/>
    <row r="23" ht="26.65" hidden="1" customHeight="1"/>
    <row r="24" ht="26.65" hidden="1" customHeight="1"/>
    <row r="25" ht="26.65" hidden="1" customHeight="1"/>
    <row r="26" ht="26.65" hidden="1" customHeight="1"/>
    <row r="27" ht="26.65" hidden="1" customHeight="1"/>
    <row r="28" ht="26.65" hidden="1" customHeight="1"/>
    <row r="29" ht="26.65" hidden="1" customHeight="1"/>
    <row r="30" ht="26.65" hidden="1" customHeight="1"/>
    <row r="31" ht="26.65" hidden="1" customHeight="1"/>
    <row r="32" ht="26.65" hidden="1" customHeight="1"/>
    <row r="33" ht="26.65" hidden="1" customHeight="1"/>
    <row r="34" ht="26.65" hidden="1" customHeight="1"/>
    <row r="35" ht="26.65" hidden="1" customHeight="1"/>
    <row r="36" ht="26.65" hidden="1" customHeight="1"/>
    <row r="37" ht="11.45" hidden="1" customHeight="1"/>
    <row r="38" ht="9" hidden="1" customHeight="1"/>
    <row r="39" ht="17.45" hidden="1" customHeight="1"/>
    <row r="40" ht="26.65" hidden="1" customHeight="1"/>
    <row r="41" ht="26.65" hidden="1" customHeight="1"/>
    <row r="42" ht="26.65" hidden="1" customHeight="1"/>
    <row r="43" ht="26.65" hidden="1" customHeight="1"/>
    <row r="44" ht="26.65" hidden="1" customHeight="1"/>
    <row r="45" ht="26.65" hidden="1" customHeight="1"/>
    <row r="46" ht="26.65" hidden="1" customHeight="1"/>
    <row r="47" ht="26.65" hidden="1" customHeight="1"/>
    <row r="48" ht="26.65" hidden="1" customHeight="1"/>
    <row r="49" ht="26.65" hidden="1" customHeight="1"/>
    <row r="50" ht="26.65" hidden="1" customHeight="1"/>
    <row r="51" ht="26.65" hidden="1" customHeight="1"/>
    <row r="52" ht="26.65" hidden="1" customHeight="1"/>
    <row r="53" ht="26.65" hidden="1" customHeight="1"/>
    <row r="54" ht="26.65" hidden="1" customHeight="1"/>
    <row r="55" ht="26.65" hidden="1" customHeight="1"/>
    <row r="56" ht="26.65"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86577"/>
    <pageSetUpPr fitToPage="1"/>
  </sheetPr>
  <dimension ref="A1:AH44"/>
  <sheetViews>
    <sheetView showGridLines="0" topLeftCell="B1" zoomScale="85" zoomScaleNormal="85" workbookViewId="0">
      <selection activeCell="C5" sqref="C5"/>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19.5" thickBot="1">
      <c r="B2" s="14"/>
      <c r="C2" s="9" t="s">
        <v>6</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t="s">
        <v>85</v>
      </c>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abSelected="1" zoomScale="110" zoomScaleNormal="110" zoomScalePageLayoutView="40" workbookViewId="0">
      <selection activeCell="H25" sqref="H25"/>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v>44813</v>
      </c>
    </row>
    <row r="4" spans="1:38" ht="15.75">
      <c r="A4" s="10"/>
      <c r="B4" s="12" t="s">
        <v>7</v>
      </c>
      <c r="C4" s="27"/>
      <c r="D4" s="25"/>
      <c r="E4" s="59" t="s">
        <v>72</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02" t="s">
        <v>69</v>
      </c>
      <c r="G9" s="102"/>
      <c r="H9" s="102"/>
      <c r="I9" s="102"/>
      <c r="J9" s="102"/>
      <c r="K9" s="102"/>
      <c r="L9" s="103"/>
      <c r="M9" s="104" t="s">
        <v>71</v>
      </c>
      <c r="N9" s="102"/>
      <c r="O9" s="102"/>
      <c r="P9" s="102"/>
      <c r="Q9" s="102"/>
      <c r="R9" s="102"/>
      <c r="S9" s="103"/>
      <c r="T9" s="104" t="s">
        <v>57</v>
      </c>
      <c r="U9" s="102"/>
      <c r="V9" s="105"/>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5">
        <v>0</v>
      </c>
      <c r="G13" s="75">
        <v>7</v>
      </c>
      <c r="H13" s="72">
        <v>0</v>
      </c>
      <c r="I13" s="72">
        <v>4</v>
      </c>
      <c r="J13" s="65">
        <f t="shared" ref="J13:J31" si="0">IFERROR(F13/G13-1,"n/a")</f>
        <v>-1</v>
      </c>
      <c r="K13" s="65" t="str">
        <f>IFERROR(F13/H13-1,"n/a")</f>
        <v>n/a</v>
      </c>
      <c r="L13" s="61">
        <f t="shared" ref="L13:L14" si="1">IFERROR(F13/I13-1,"n/a")</f>
        <v>-1</v>
      </c>
      <c r="M13" s="69">
        <f>F13+'Jul-22'!M13</f>
        <v>227</v>
      </c>
      <c r="N13" s="69">
        <f>G13+'Jul-22'!N13</f>
        <v>13</v>
      </c>
      <c r="O13" s="69">
        <f>H13+'Jul-22'!O13</f>
        <v>145</v>
      </c>
      <c r="P13" s="69">
        <f>I13+'Jul-22'!P13</f>
        <v>250</v>
      </c>
      <c r="Q13" s="65">
        <f>IFERROR(M13/N13-1,"n/a")</f>
        <v>16.46153846153846</v>
      </c>
      <c r="R13" s="65">
        <f>IFERROR(M13/O13-1,"n/a")</f>
        <v>0.56551724137931036</v>
      </c>
      <c r="S13" s="61">
        <f>IFERROR(M13/P13-1,"n/a")</f>
        <v>-9.1999999999999971E-2</v>
      </c>
      <c r="T13" s="69">
        <v>111</v>
      </c>
      <c r="U13" s="71">
        <v>145</v>
      </c>
      <c r="V13" s="79">
        <v>386</v>
      </c>
    </row>
    <row r="14" spans="1:38" ht="15">
      <c r="A14" s="10"/>
      <c r="B14" s="13"/>
      <c r="C14" s="34"/>
      <c r="D14" s="27" t="s">
        <v>11</v>
      </c>
      <c r="E14" s="33"/>
      <c r="F14" s="75">
        <v>0</v>
      </c>
      <c r="G14" s="75">
        <v>1816</v>
      </c>
      <c r="H14" s="72">
        <v>0</v>
      </c>
      <c r="I14" s="75">
        <v>9607</v>
      </c>
      <c r="J14" s="65">
        <f t="shared" si="0"/>
        <v>-1</v>
      </c>
      <c r="K14" s="65" t="str">
        <f t="shared" ref="K14" si="2">IFERROR(F14/H14-1,"n/a")</f>
        <v>n/a</v>
      </c>
      <c r="L14" s="61">
        <f t="shared" si="1"/>
        <v>-1</v>
      </c>
      <c r="M14" s="69">
        <f>F14+'Jul-22'!M14</f>
        <v>194169</v>
      </c>
      <c r="N14" s="69">
        <f>G14+'Jul-22'!N14</f>
        <v>2583</v>
      </c>
      <c r="O14" s="69">
        <f>H14+'Jul-22'!O14</f>
        <v>258885</v>
      </c>
      <c r="P14" s="69">
        <f>I14+'Jul-22'!P14</f>
        <v>481131</v>
      </c>
      <c r="Q14" s="65">
        <f>IFERROR(M14/N14-1,"n/a")</f>
        <v>74.1718931475029</v>
      </c>
      <c r="R14" s="65">
        <f>IFERROR(M14/O14-1,"n/a")</f>
        <v>-0.24997972072541863</v>
      </c>
      <c r="S14" s="61">
        <f>IFERROR(M14/P14-1,"n/a")</f>
        <v>-0.59643215673070327</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57</v>
      </c>
      <c r="G16" s="75">
        <v>24</v>
      </c>
      <c r="H16" s="72">
        <v>0</v>
      </c>
      <c r="I16" s="75">
        <v>69</v>
      </c>
      <c r="J16" s="65">
        <f t="shared" si="0"/>
        <v>1.375</v>
      </c>
      <c r="K16" s="65" t="str">
        <f t="shared" ref="K16:K17" si="3">IFERROR(F16/H16-1,"n/a")</f>
        <v>n/a</v>
      </c>
      <c r="L16" s="61">
        <f t="shared" ref="L16:L17" si="4">IFERROR(F16/I16-1,"n/a")</f>
        <v>-0.17391304347826086</v>
      </c>
      <c r="M16" s="69">
        <f>F16+'Jul-22'!M16</f>
        <v>448</v>
      </c>
      <c r="N16" s="69">
        <f>G16+'Jul-22'!N16</f>
        <v>38</v>
      </c>
      <c r="O16" s="69">
        <f>H16+'Jul-22'!O16</f>
        <v>43</v>
      </c>
      <c r="P16" s="69">
        <f>I16+'Jul-22'!P16</f>
        <v>499</v>
      </c>
      <c r="Q16" s="65">
        <f t="shared" ref="Q16:Q17" si="5">IFERROR(M16/N16-1,"n/a")</f>
        <v>10.789473684210526</v>
      </c>
      <c r="R16" s="65">
        <f t="shared" ref="R16:R17" si="6">IFERROR(M16/O16-1,"n/a")</f>
        <v>9.4186046511627914</v>
      </c>
      <c r="S16" s="61">
        <f t="shared" ref="S16:S17" si="7">IFERROR(M16/P16-1,"n/a")</f>
        <v>-0.10220440881763526</v>
      </c>
      <c r="T16" s="69">
        <v>283</v>
      </c>
      <c r="U16" s="71">
        <v>43</v>
      </c>
      <c r="V16" s="79">
        <v>827</v>
      </c>
    </row>
    <row r="17" spans="1:38" ht="15">
      <c r="A17" s="10"/>
      <c r="B17" s="13"/>
      <c r="C17" s="34"/>
      <c r="D17" s="27" t="s">
        <v>11</v>
      </c>
      <c r="E17" s="33"/>
      <c r="F17" s="75">
        <v>227186</v>
      </c>
      <c r="G17" s="75">
        <v>49688</v>
      </c>
      <c r="H17" s="72">
        <v>0</v>
      </c>
      <c r="I17" s="75">
        <v>291759</v>
      </c>
      <c r="J17" s="65">
        <f t="shared" si="0"/>
        <v>3.572250845274513</v>
      </c>
      <c r="K17" s="65" t="str">
        <f t="shared" si="3"/>
        <v>n/a</v>
      </c>
      <c r="L17" s="61">
        <f t="shared" si="4"/>
        <v>-0.2213230782940715</v>
      </c>
      <c r="M17" s="69">
        <f>F17+'Jul-22'!M17</f>
        <v>1032303</v>
      </c>
      <c r="N17" s="69">
        <f>G17+'Jul-22'!N17</f>
        <v>78164</v>
      </c>
      <c r="O17" s="69">
        <f>H17+'Jul-22'!O17</f>
        <v>140552</v>
      </c>
      <c r="P17" s="69">
        <f>I17+'Jul-22'!P17</f>
        <v>1593408</v>
      </c>
      <c r="Q17" s="65">
        <f t="shared" si="5"/>
        <v>12.206885522747045</v>
      </c>
      <c r="R17" s="65">
        <f t="shared" si="6"/>
        <v>6.3446340144572826</v>
      </c>
      <c r="S17" s="61">
        <f t="shared" si="7"/>
        <v>-0.35214144776479095</v>
      </c>
      <c r="T17" s="69">
        <v>465109</v>
      </c>
      <c r="U17" s="71">
        <v>140552</v>
      </c>
      <c r="V17" s="79">
        <v>2552942</v>
      </c>
    </row>
    <row r="18" spans="1:38" ht="15">
      <c r="A18" s="10"/>
      <c r="B18" s="13"/>
      <c r="C18" s="32" t="s">
        <v>15</v>
      </c>
      <c r="D18" s="27"/>
      <c r="E18" s="33"/>
      <c r="F18" s="73"/>
      <c r="G18" s="73"/>
      <c r="H18" s="73"/>
      <c r="I18" s="73"/>
      <c r="J18" s="65"/>
      <c r="K18" s="65"/>
      <c r="L18" s="61"/>
      <c r="M18" s="88"/>
      <c r="N18" s="88"/>
      <c r="O18" s="88"/>
      <c r="P18" s="88"/>
      <c r="Q18" s="65"/>
      <c r="R18" s="65"/>
      <c r="S18" s="61"/>
      <c r="T18" s="44"/>
      <c r="U18" s="45"/>
      <c r="V18" s="80"/>
    </row>
    <row r="19" spans="1:38" ht="15">
      <c r="A19" s="10"/>
      <c r="B19" s="13"/>
      <c r="C19" s="34"/>
      <c r="D19" s="27" t="s">
        <v>5</v>
      </c>
      <c r="E19" s="33"/>
      <c r="F19" s="75">
        <v>67</v>
      </c>
      <c r="G19" s="72">
        <v>0</v>
      </c>
      <c r="H19" s="72">
        <v>0</v>
      </c>
      <c r="I19" s="75">
        <v>27</v>
      </c>
      <c r="J19" s="65" t="str">
        <f t="shared" si="0"/>
        <v>n/a</v>
      </c>
      <c r="K19" s="65" t="str">
        <f t="shared" ref="K19:K20" si="8">IFERROR(F19/H19-1,"n/a")</f>
        <v>n/a</v>
      </c>
      <c r="L19" s="61">
        <f>IFERROR(F19/I19-1,"n/a")</f>
        <v>1.4814814814814814</v>
      </c>
      <c r="M19" s="69">
        <f>F19+'Jul-22'!M19</f>
        <v>294</v>
      </c>
      <c r="N19" s="69">
        <f>G19+'Jul-22'!N19</f>
        <v>0</v>
      </c>
      <c r="O19" s="69">
        <f>H19+'Jul-22'!O19</f>
        <v>4</v>
      </c>
      <c r="P19" s="69">
        <f>I19+'Jul-22'!P19</f>
        <v>128</v>
      </c>
      <c r="Q19" s="65" t="str">
        <f t="shared" ref="Q19:Q20" si="9">IFERROR(M19/N19-1,"n/a")</f>
        <v>n/a</v>
      </c>
      <c r="R19" s="65">
        <f t="shared" ref="R19:R20" si="10">IFERROR(M19/O19-1,"n/a")</f>
        <v>72.5</v>
      </c>
      <c r="S19" s="61">
        <f t="shared" ref="S19:S20" si="11">IFERROR(M19/P19-1,"n/a")</f>
        <v>1.296875</v>
      </c>
      <c r="T19" s="69">
        <v>23</v>
      </c>
      <c r="U19" s="71">
        <v>4</v>
      </c>
      <c r="V19" s="79">
        <v>191</v>
      </c>
    </row>
    <row r="20" spans="1:38" ht="15">
      <c r="A20" s="10"/>
      <c r="B20" s="13"/>
      <c r="C20" s="34"/>
      <c r="D20" s="27" t="s">
        <v>11</v>
      </c>
      <c r="E20" s="33"/>
      <c r="F20" s="75">
        <f>83975+18476</f>
        <v>102451</v>
      </c>
      <c r="G20" s="72">
        <v>0</v>
      </c>
      <c r="H20" s="72">
        <v>0</v>
      </c>
      <c r="I20" s="75">
        <f>27978+22373</f>
        <v>50351</v>
      </c>
      <c r="J20" s="65" t="str">
        <f t="shared" si="0"/>
        <v>n/a</v>
      </c>
      <c r="K20" s="65" t="str">
        <f t="shared" si="8"/>
        <v>n/a</v>
      </c>
      <c r="L20" s="61">
        <f t="shared" ref="L20:L31" si="12">IFERROR(F20/I20-1,"n/a")</f>
        <v>1.0347361522114755</v>
      </c>
      <c r="M20" s="69">
        <f>F20+'Jul-22'!M20</f>
        <v>342129</v>
      </c>
      <c r="N20" s="69">
        <f>G20+'Jul-22'!N20</f>
        <v>0</v>
      </c>
      <c r="O20" s="69">
        <f>H20+'Jul-22'!O20</f>
        <v>1753</v>
      </c>
      <c r="P20" s="69">
        <f>I20+'Jul-22'!P20</f>
        <v>167542</v>
      </c>
      <c r="Q20" s="65" t="str">
        <f t="shared" si="9"/>
        <v>n/a</v>
      </c>
      <c r="R20" s="65">
        <f t="shared" si="10"/>
        <v>194.16771249286936</v>
      </c>
      <c r="S20" s="61">
        <f t="shared" si="11"/>
        <v>1.0420491578231128</v>
      </c>
      <c r="T20" s="69">
        <v>8611</v>
      </c>
      <c r="U20" s="71">
        <v>1753</v>
      </c>
      <c r="V20" s="79">
        <v>254421</v>
      </c>
    </row>
    <row r="21" spans="1:38" ht="15">
      <c r="A21" s="10"/>
      <c r="B21" s="13"/>
      <c r="C21" s="32" t="s">
        <v>10</v>
      </c>
      <c r="D21" s="27"/>
      <c r="E21" s="35"/>
      <c r="F21" s="73"/>
      <c r="G21" s="73"/>
      <c r="H21" s="73"/>
      <c r="I21" s="73"/>
      <c r="J21" s="65"/>
      <c r="K21" s="65"/>
      <c r="L21" s="61"/>
      <c r="M21" s="88"/>
      <c r="N21" s="88"/>
      <c r="O21" s="88"/>
      <c r="P21" s="88"/>
      <c r="Q21" s="65"/>
      <c r="R21" s="65"/>
      <c r="S21" s="61"/>
      <c r="T21" s="44"/>
      <c r="U21" s="45"/>
      <c r="V21" s="80"/>
    </row>
    <row r="22" spans="1:38" ht="15">
      <c r="A22" s="10"/>
      <c r="B22" s="13"/>
      <c r="C22" s="34"/>
      <c r="D22" s="27" t="s">
        <v>5</v>
      </c>
      <c r="E22" s="35"/>
      <c r="F22" s="74">
        <v>81</v>
      </c>
      <c r="G22" s="75">
        <v>44</v>
      </c>
      <c r="H22" s="72">
        <v>0</v>
      </c>
      <c r="I22" s="75">
        <v>93</v>
      </c>
      <c r="J22" s="65">
        <f t="shared" si="0"/>
        <v>0.84090909090909083</v>
      </c>
      <c r="K22" s="65" t="str">
        <f t="shared" ref="K22:K23" si="13">IFERROR(F22/H22-1,"n/a")</f>
        <v>n/a</v>
      </c>
      <c r="L22" s="61">
        <f t="shared" si="12"/>
        <v>-0.12903225806451613</v>
      </c>
      <c r="M22" s="69">
        <f>F22+'Jul-22'!M22</f>
        <v>764</v>
      </c>
      <c r="N22" s="69">
        <f>G22+'Jul-22'!N22</f>
        <v>73</v>
      </c>
      <c r="O22" s="69">
        <f>H22+'Jul-22'!O22</f>
        <v>406</v>
      </c>
      <c r="P22" s="69">
        <f>I22+'Jul-22'!P22</f>
        <v>780</v>
      </c>
      <c r="Q22" s="65">
        <f t="shared" ref="Q22:Q23" si="14">IFERROR(M22/N22-1,"n/a")</f>
        <v>9.4657534246575334</v>
      </c>
      <c r="R22" s="65">
        <f t="shared" ref="R22:R23" si="15">IFERROR(M22/O22-1,"n/a")</f>
        <v>0.88177339901477825</v>
      </c>
      <c r="S22" s="61">
        <f t="shared" ref="S22:S23" si="16">IFERROR(M22/P22-1,"n/a")</f>
        <v>-2.0512820512820551E-2</v>
      </c>
      <c r="T22" s="69">
        <v>411</v>
      </c>
      <c r="U22" s="71">
        <v>406</v>
      </c>
      <c r="V22" s="79">
        <v>1205</v>
      </c>
    </row>
    <row r="23" spans="1:38" ht="15">
      <c r="A23" s="10"/>
      <c r="B23" s="13"/>
      <c r="C23" s="34"/>
      <c r="D23" s="27" t="s">
        <v>11</v>
      </c>
      <c r="E23" s="33"/>
      <c r="F23" s="75">
        <v>278520</v>
      </c>
      <c r="G23" s="75">
        <v>64775</v>
      </c>
      <c r="H23" s="72">
        <v>0</v>
      </c>
      <c r="I23" s="75">
        <v>315639</v>
      </c>
      <c r="J23" s="65">
        <f t="shared" si="0"/>
        <v>3.2998070243149362</v>
      </c>
      <c r="K23" s="65" t="str">
        <f t="shared" si="13"/>
        <v>n/a</v>
      </c>
      <c r="L23" s="61">
        <f t="shared" si="12"/>
        <v>-0.11759953617898933</v>
      </c>
      <c r="M23" s="69">
        <f>F23+'Jul-22'!M23</f>
        <v>1920562</v>
      </c>
      <c r="N23" s="69">
        <f>G23+'Jul-22'!N23</f>
        <v>100033</v>
      </c>
      <c r="O23" s="69">
        <f>H23+'Jul-22'!O23</f>
        <v>833999</v>
      </c>
      <c r="P23" s="69">
        <f>I23+'Jul-22'!P23</f>
        <v>2649237</v>
      </c>
      <c r="Q23" s="65">
        <f t="shared" si="14"/>
        <v>18.199284236202054</v>
      </c>
      <c r="R23" s="65">
        <f t="shared" si="15"/>
        <v>1.302834895485486</v>
      </c>
      <c r="S23" s="61">
        <f t="shared" si="16"/>
        <v>-0.27505089201154898</v>
      </c>
      <c r="T23" s="69">
        <v>687449</v>
      </c>
      <c r="U23" s="71">
        <v>833999</v>
      </c>
      <c r="V23" s="79">
        <v>3859183</v>
      </c>
    </row>
    <row r="24" spans="1:38" ht="15">
      <c r="A24" s="10"/>
      <c r="B24" s="13"/>
      <c r="C24" s="32" t="s">
        <v>16</v>
      </c>
      <c r="D24" s="27"/>
      <c r="E24" s="33"/>
      <c r="F24" s="73"/>
      <c r="G24" s="73"/>
      <c r="H24" s="73"/>
      <c r="I24" s="73"/>
      <c r="J24" s="65"/>
      <c r="K24" s="65"/>
      <c r="L24" s="61"/>
      <c r="M24" s="88"/>
      <c r="N24" s="88"/>
      <c r="O24" s="88"/>
      <c r="P24" s="88"/>
      <c r="Q24" s="65"/>
      <c r="R24" s="65"/>
      <c r="S24" s="61"/>
      <c r="T24" s="44"/>
      <c r="U24" s="45"/>
      <c r="V24" s="80"/>
    </row>
    <row r="25" spans="1:38" ht="15">
      <c r="A25" s="10"/>
      <c r="B25" s="13"/>
      <c r="C25" s="34"/>
      <c r="D25" s="27" t="s">
        <v>5</v>
      </c>
      <c r="E25" s="33"/>
      <c r="F25" s="75">
        <v>32</v>
      </c>
      <c r="G25" s="75">
        <v>17</v>
      </c>
      <c r="H25" s="75">
        <v>2</v>
      </c>
      <c r="I25" s="75">
        <v>35</v>
      </c>
      <c r="J25" s="65">
        <f t="shared" si="0"/>
        <v>0.88235294117647056</v>
      </c>
      <c r="K25" s="65">
        <f t="shared" ref="K25:K26" si="17">IFERROR(F25/H25-1,"n/a")</f>
        <v>15</v>
      </c>
      <c r="L25" s="61">
        <f t="shared" si="12"/>
        <v>-8.5714285714285743E-2</v>
      </c>
      <c r="M25" s="69">
        <f>F25+'Jul-22'!M25</f>
        <v>188</v>
      </c>
      <c r="N25" s="69">
        <f>G25+'Jul-22'!N25</f>
        <v>54</v>
      </c>
      <c r="O25" s="69">
        <f>H25+'Jul-22'!O25</f>
        <v>11</v>
      </c>
      <c r="P25" s="69">
        <f>I25+'Jul-22'!P25</f>
        <v>204</v>
      </c>
      <c r="Q25" s="65">
        <f t="shared" ref="Q25:Q26" si="18">IFERROR(M25/N25-1,"n/a")</f>
        <v>2.4814814814814814</v>
      </c>
      <c r="R25" s="65">
        <f t="shared" ref="R25:R26" si="19">IFERROR(M25/O25-1,"n/a")</f>
        <v>16.09090909090909</v>
      </c>
      <c r="S25" s="61">
        <f t="shared" ref="S25:S26" si="20">IFERROR(M25/P25-1,"n/a")</f>
        <v>-7.8431372549019662E-2</v>
      </c>
      <c r="T25" s="69">
        <v>107</v>
      </c>
      <c r="U25" s="71">
        <v>32</v>
      </c>
      <c r="V25" s="79">
        <v>372</v>
      </c>
    </row>
    <row r="26" spans="1:38" ht="15">
      <c r="A26" s="10"/>
      <c r="B26" s="13"/>
      <c r="C26" s="34"/>
      <c r="D26" s="27" t="s">
        <v>11</v>
      </c>
      <c r="E26" s="33"/>
      <c r="F26" s="75">
        <v>96458</v>
      </c>
      <c r="G26" s="75">
        <v>24100</v>
      </c>
      <c r="H26" s="75">
        <v>2541</v>
      </c>
      <c r="I26" s="75">
        <v>108905</v>
      </c>
      <c r="J26" s="65">
        <f t="shared" si="0"/>
        <v>3.0024066390041497</v>
      </c>
      <c r="K26" s="65">
        <f t="shared" si="17"/>
        <v>36.960645415190868</v>
      </c>
      <c r="L26" s="61">
        <f t="shared" si="12"/>
        <v>-0.11429227308204404</v>
      </c>
      <c r="M26" s="69">
        <f>F26+'Jul-22'!M26</f>
        <v>346507</v>
      </c>
      <c r="N26" s="69">
        <f>G26+'Jul-22'!N26</f>
        <v>69550</v>
      </c>
      <c r="O26" s="69">
        <f>H26+'Jul-22'!O26</f>
        <v>42762</v>
      </c>
      <c r="P26" s="69">
        <f>I26+'Jul-22'!P26</f>
        <v>586040</v>
      </c>
      <c r="Q26" s="65">
        <f t="shared" si="18"/>
        <v>3.9821279654924515</v>
      </c>
      <c r="R26" s="65">
        <f t="shared" si="19"/>
        <v>7.1031523315092837</v>
      </c>
      <c r="S26" s="61">
        <f t="shared" si="20"/>
        <v>-0.40873148590539898</v>
      </c>
      <c r="T26" s="69">
        <v>147132</v>
      </c>
      <c r="U26" s="71">
        <v>59180</v>
      </c>
      <c r="V26" s="79">
        <v>902015</v>
      </c>
    </row>
    <row r="27" spans="1:38" ht="15">
      <c r="A27" s="10"/>
      <c r="B27" s="13"/>
      <c r="C27" s="32" t="s">
        <v>17</v>
      </c>
      <c r="D27" s="27"/>
      <c r="E27" s="33"/>
      <c r="F27" s="73"/>
      <c r="G27" s="73"/>
      <c r="H27" s="73"/>
      <c r="I27" s="73"/>
      <c r="J27" s="65"/>
      <c r="K27" s="65"/>
      <c r="L27" s="61"/>
      <c r="M27" s="88"/>
      <c r="N27" s="88"/>
      <c r="O27" s="88"/>
      <c r="P27" s="88"/>
      <c r="Q27" s="65"/>
      <c r="R27" s="65"/>
      <c r="S27" s="61"/>
      <c r="T27" s="44"/>
      <c r="U27" s="45"/>
      <c r="V27" s="80"/>
    </row>
    <row r="28" spans="1:38" ht="15">
      <c r="B28" s="13"/>
      <c r="C28" s="34"/>
      <c r="D28" s="27" t="s">
        <v>5</v>
      </c>
      <c r="E28" s="33"/>
      <c r="F28" s="75">
        <v>72</v>
      </c>
      <c r="G28" s="75">
        <v>16</v>
      </c>
      <c r="H28" s="75">
        <v>3</v>
      </c>
      <c r="I28" s="75">
        <v>44</v>
      </c>
      <c r="J28" s="65">
        <f t="shared" si="0"/>
        <v>3.5</v>
      </c>
      <c r="K28" s="65">
        <f t="shared" ref="K28:K31" si="21">IFERROR(F28/H28-1,"n/a")</f>
        <v>23</v>
      </c>
      <c r="L28" s="61">
        <f t="shared" si="12"/>
        <v>0.63636363636363646</v>
      </c>
      <c r="M28" s="69">
        <f>F28+'Jul-22'!M28</f>
        <v>346</v>
      </c>
      <c r="N28" s="69">
        <f>G28+'Jul-22'!N28</f>
        <v>56</v>
      </c>
      <c r="O28" s="69">
        <f>H28+'Jul-22'!O28</f>
        <v>5</v>
      </c>
      <c r="P28" s="69">
        <f>I28+'Jul-22'!P28</f>
        <v>216</v>
      </c>
      <c r="Q28" s="65">
        <f t="shared" ref="Q28:Q31" si="22">IFERROR(M28/N28-1,"n/a")</f>
        <v>5.1785714285714288</v>
      </c>
      <c r="R28" s="65">
        <f t="shared" ref="R28:R31" si="23">IFERROR(M28/O28-1,"n/a")</f>
        <v>68.2</v>
      </c>
      <c r="S28" s="61">
        <f t="shared" ref="S28:S31" si="24">IFERROR(M28/P28-1,"n/a")</f>
        <v>0.60185185185185186</v>
      </c>
      <c r="T28" s="69">
        <v>124</v>
      </c>
      <c r="U28" s="71">
        <v>37</v>
      </c>
      <c r="V28" s="79">
        <f>282+81</f>
        <v>363</v>
      </c>
    </row>
    <row r="29" spans="1:38" ht="15">
      <c r="A29" s="10"/>
      <c r="B29" s="13"/>
      <c r="C29" s="34"/>
      <c r="D29" s="27" t="s">
        <v>11</v>
      </c>
      <c r="E29" s="33"/>
      <c r="F29" s="75">
        <f>152952+25399+7611</f>
        <v>185962</v>
      </c>
      <c r="G29" s="75">
        <v>25181</v>
      </c>
      <c r="H29" s="72">
        <v>0</v>
      </c>
      <c r="I29" s="75">
        <f>100123+26729+22999</f>
        <v>149851</v>
      </c>
      <c r="J29" s="65">
        <f t="shared" si="0"/>
        <v>6.3850125094317143</v>
      </c>
      <c r="K29" s="65" t="str">
        <f t="shared" si="21"/>
        <v>n/a</v>
      </c>
      <c r="L29" s="61">
        <f t="shared" si="12"/>
        <v>0.24097937284369131</v>
      </c>
      <c r="M29" s="69">
        <f>F29+'Jul-22'!M29</f>
        <v>544281</v>
      </c>
      <c r="N29" s="69">
        <f>G29+'Jul-22'!N29</f>
        <v>81814</v>
      </c>
      <c r="O29" s="69">
        <f>H29+'Jul-22'!O29</f>
        <v>9186</v>
      </c>
      <c r="P29" s="69">
        <f>I29+'Jul-22'!P29</f>
        <v>592980</v>
      </c>
      <c r="Q29" s="65">
        <f t="shared" si="22"/>
        <v>5.652663358349427</v>
      </c>
      <c r="R29" s="65">
        <f t="shared" si="23"/>
        <v>58.251143043762248</v>
      </c>
      <c r="S29" s="61">
        <f t="shared" si="24"/>
        <v>-8.2125872710715364E-2</v>
      </c>
      <c r="T29" s="69">
        <v>165083</v>
      </c>
      <c r="U29" s="71">
        <f>20768+8294</f>
        <v>29062</v>
      </c>
      <c r="V29" s="79">
        <f>659951+168729+38484</f>
        <v>867164</v>
      </c>
    </row>
    <row r="30" spans="1:38" ht="15" customHeight="1" thickBot="1">
      <c r="A30" s="10"/>
      <c r="B30" s="13"/>
      <c r="C30" s="36" t="s">
        <v>12</v>
      </c>
      <c r="D30" s="37"/>
      <c r="E30" s="38"/>
      <c r="F30" s="76">
        <f t="shared" ref="F30:I31" si="25">F13+F16+F19+F22+F25+F28</f>
        <v>309</v>
      </c>
      <c r="G30" s="76">
        <f t="shared" si="25"/>
        <v>108</v>
      </c>
      <c r="H30" s="76">
        <f t="shared" si="25"/>
        <v>5</v>
      </c>
      <c r="I30" s="76">
        <f t="shared" si="25"/>
        <v>272</v>
      </c>
      <c r="J30" s="67">
        <f t="shared" si="0"/>
        <v>1.8611111111111112</v>
      </c>
      <c r="K30" s="67">
        <f t="shared" si="21"/>
        <v>60.8</v>
      </c>
      <c r="L30" s="63">
        <f t="shared" si="12"/>
        <v>0.13602941176470584</v>
      </c>
      <c r="M30" s="47">
        <f t="shared" ref="M30:P31" si="26">M13+M16+M19+M22+M25+M28</f>
        <v>2267</v>
      </c>
      <c r="N30" s="47">
        <f t="shared" si="26"/>
        <v>234</v>
      </c>
      <c r="O30" s="47">
        <f t="shared" si="26"/>
        <v>614</v>
      </c>
      <c r="P30" s="47">
        <f t="shared" si="26"/>
        <v>2077</v>
      </c>
      <c r="Q30" s="67">
        <f t="shared" si="22"/>
        <v>8.6880341880341874</v>
      </c>
      <c r="R30" s="67">
        <f t="shared" si="23"/>
        <v>2.6921824104234529</v>
      </c>
      <c r="S30" s="63">
        <f t="shared" si="24"/>
        <v>9.147809340394808E-2</v>
      </c>
      <c r="T30" s="47">
        <f t="shared" ref="T30:V31" si="27">T13+T16+T19+T22+T25+T28</f>
        <v>1059</v>
      </c>
      <c r="U30" s="47">
        <f t="shared" si="27"/>
        <v>667</v>
      </c>
      <c r="V30" s="81">
        <f t="shared" si="27"/>
        <v>3344</v>
      </c>
    </row>
    <row r="31" spans="1:38" s="23" customFormat="1" ht="15" customHeight="1" thickTop="1" thickBot="1">
      <c r="A31" s="10"/>
      <c r="B31" s="13"/>
      <c r="C31" s="39" t="s">
        <v>13</v>
      </c>
      <c r="D31" s="40"/>
      <c r="E31" s="41"/>
      <c r="F31" s="77">
        <f t="shared" si="25"/>
        <v>890577</v>
      </c>
      <c r="G31" s="77">
        <f t="shared" si="25"/>
        <v>165560</v>
      </c>
      <c r="H31" s="77">
        <f t="shared" si="25"/>
        <v>2541</v>
      </c>
      <c r="I31" s="77">
        <f t="shared" si="25"/>
        <v>926112</v>
      </c>
      <c r="J31" s="68">
        <f t="shared" si="0"/>
        <v>4.3791797535636627</v>
      </c>
      <c r="K31" s="68">
        <f t="shared" si="21"/>
        <v>349.48288075560805</v>
      </c>
      <c r="L31" s="64">
        <f t="shared" si="12"/>
        <v>-3.8370089146885E-2</v>
      </c>
      <c r="M31" s="48">
        <f t="shared" si="26"/>
        <v>4379951</v>
      </c>
      <c r="N31" s="48">
        <f t="shared" si="26"/>
        <v>332144</v>
      </c>
      <c r="O31" s="48">
        <f t="shared" si="26"/>
        <v>1287137</v>
      </c>
      <c r="P31" s="48">
        <f t="shared" si="26"/>
        <v>6070338</v>
      </c>
      <c r="Q31" s="68">
        <f t="shared" si="22"/>
        <v>12.186903873018931</v>
      </c>
      <c r="R31" s="68">
        <f t="shared" si="23"/>
        <v>2.4028630984891275</v>
      </c>
      <c r="S31" s="64">
        <f t="shared" si="24"/>
        <v>-0.27846670152469266</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5">
      <c r="A34" s="10"/>
      <c r="B34" s="11"/>
      <c r="C34" s="87" t="s">
        <v>63</v>
      </c>
      <c r="D34" s="25"/>
      <c r="E34" s="25"/>
      <c r="F34" s="25"/>
      <c r="G34" s="25"/>
      <c r="H34" s="25"/>
      <c r="I34" s="25"/>
      <c r="J34" s="25"/>
      <c r="K34" s="25"/>
      <c r="L34" s="25"/>
      <c r="M34" s="25"/>
      <c r="N34" s="25"/>
      <c r="O34" s="25"/>
      <c r="P34" s="25"/>
      <c r="Q34" s="25"/>
      <c r="R34" s="25"/>
      <c r="S34" s="25"/>
      <c r="T34" s="25"/>
      <c r="U34" s="25"/>
      <c r="V34" s="25"/>
    </row>
    <row r="35" spans="1:22" ht="15">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02" t="str">
        <f>F9</f>
        <v>August</v>
      </c>
      <c r="G36" s="102"/>
      <c r="H36" s="102"/>
      <c r="I36" s="102"/>
      <c r="J36" s="102"/>
      <c r="K36" s="102"/>
      <c r="L36" s="103"/>
      <c r="M36" s="104" t="s">
        <v>70</v>
      </c>
      <c r="N36" s="102"/>
      <c r="O36" s="102"/>
      <c r="P36" s="102"/>
      <c r="Q36" s="102"/>
      <c r="R36" s="102"/>
      <c r="S36" s="103"/>
      <c r="T36" s="104" t="s">
        <v>58</v>
      </c>
      <c r="U36" s="102"/>
      <c r="V36" s="105"/>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0</v>
      </c>
      <c r="G40" s="75">
        <f t="shared" ref="G40:I40" si="28">G13</f>
        <v>7</v>
      </c>
      <c r="H40" s="72">
        <f t="shared" si="28"/>
        <v>0</v>
      </c>
      <c r="I40" s="72">
        <f t="shared" si="28"/>
        <v>4</v>
      </c>
      <c r="J40" s="65">
        <f t="shared" ref="J40:J41" si="29">IFERROR(F40/G40-1,"n/a")</f>
        <v>-1</v>
      </c>
      <c r="K40" s="65" t="str">
        <f>IFERROR(F40/H40-1,"n/a")</f>
        <v>n/a</v>
      </c>
      <c r="L40" s="61">
        <f t="shared" ref="L40:L41" si="30">IFERROR(F40/I40-1,"n/a")</f>
        <v>-1</v>
      </c>
      <c r="M40" s="71">
        <f>+M13-'Mar-22'!M10</f>
        <v>30</v>
      </c>
      <c r="N40" s="71">
        <f>+N13-'Mar-22'!N10</f>
        <v>13</v>
      </c>
      <c r="O40" s="83">
        <f>+O13-'Mar-22'!O10</f>
        <v>0</v>
      </c>
      <c r="P40" s="71">
        <f>+P13-'Mar-22'!P10</f>
        <v>50</v>
      </c>
      <c r="Q40" s="65">
        <f>IFERROR(M40/N40-1,"n/a")</f>
        <v>1.3076923076923075</v>
      </c>
      <c r="R40" s="65" t="str">
        <f>IFERROR(M40/O40-1,"n/a")</f>
        <v>n/a</v>
      </c>
      <c r="S40" s="61">
        <f>IFERROR(M40/P40-1,"n/a")</f>
        <v>-0.4</v>
      </c>
      <c r="T40" s="90">
        <v>308</v>
      </c>
      <c r="U40" s="71">
        <v>145</v>
      </c>
      <c r="V40" s="79">
        <v>331</v>
      </c>
    </row>
    <row r="41" spans="1:22" s="10" customFormat="1" ht="15" customHeight="1">
      <c r="C41" s="34"/>
      <c r="D41" s="27" t="s">
        <v>11</v>
      </c>
      <c r="E41" s="33"/>
      <c r="F41" s="75">
        <f t="shared" ref="F41:I41" si="31">F14</f>
        <v>0</v>
      </c>
      <c r="G41" s="75">
        <f t="shared" si="31"/>
        <v>1816</v>
      </c>
      <c r="H41" s="72">
        <f t="shared" si="31"/>
        <v>0</v>
      </c>
      <c r="I41" s="75">
        <f t="shared" si="31"/>
        <v>9607</v>
      </c>
      <c r="J41" s="65">
        <f t="shared" si="29"/>
        <v>-1</v>
      </c>
      <c r="K41" s="65" t="str">
        <f t="shared" ref="K41" si="32">IFERROR(F41/H41-1,"n/a")</f>
        <v>n/a</v>
      </c>
      <c r="L41" s="61">
        <f t="shared" si="30"/>
        <v>-1</v>
      </c>
      <c r="M41" s="83">
        <f>+M14-'Mar-22'!M11</f>
        <v>37841</v>
      </c>
      <c r="N41" s="83">
        <f>+N14-'Mar-22'!N11</f>
        <v>2583</v>
      </c>
      <c r="O41" s="83">
        <f>+O14-'Mar-22'!O11</f>
        <v>0</v>
      </c>
      <c r="P41" s="83">
        <f>+P14-'Mar-22'!P11</f>
        <v>95751</v>
      </c>
      <c r="Q41" s="65">
        <f>IFERROR(M41/N41-1,"n/a")</f>
        <v>13.650019357336431</v>
      </c>
      <c r="R41" s="65" t="str">
        <f>IFERROR(M41/O41-1,"n/a")</f>
        <v>n/a</v>
      </c>
      <c r="S41" s="61">
        <f>IFERROR(M41/P41-1,"n/a")</f>
        <v>-0.60479786111894396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57</v>
      </c>
      <c r="G43" s="75">
        <f t="shared" si="33"/>
        <v>24</v>
      </c>
      <c r="H43" s="72">
        <f t="shared" si="33"/>
        <v>0</v>
      </c>
      <c r="I43" s="75">
        <f t="shared" si="33"/>
        <v>69</v>
      </c>
      <c r="J43" s="65">
        <f t="shared" ref="J43:J44" si="34">IFERROR(F43/G43-1,"n/a")</f>
        <v>1.375</v>
      </c>
      <c r="K43" s="65" t="str">
        <f t="shared" ref="K43:K44" si="35">IFERROR(F43/H43-1,"n/a")</f>
        <v>n/a</v>
      </c>
      <c r="L43" s="61">
        <f t="shared" ref="L43:L44" si="36">IFERROR(F43/I43-1,"n/a")</f>
        <v>-0.17391304347826086</v>
      </c>
      <c r="M43" s="71">
        <f>+M16-'Mar-22'!M13</f>
        <v>395</v>
      </c>
      <c r="N43" s="71">
        <f>+N16-'Mar-22'!N13</f>
        <v>38</v>
      </c>
      <c r="O43" s="83">
        <f>+O16-'Mar-22'!O13</f>
        <v>0</v>
      </c>
      <c r="P43" s="71">
        <f>+P16-'Mar-22'!P13</f>
        <v>410</v>
      </c>
      <c r="Q43" s="65">
        <f>IFERROR(M43/N43-1,"n/a")</f>
        <v>9.3947368421052637</v>
      </c>
      <c r="R43" s="65" t="str">
        <f>IFERROR(M43/O43-1,"n/a")</f>
        <v>n/a</v>
      </c>
      <c r="S43" s="61">
        <f t="shared" ref="S43:S44" si="37">IFERROR(M43/P43-1,"n/a")</f>
        <v>-3.6585365853658569E-2</v>
      </c>
      <c r="T43" s="90">
        <v>336</v>
      </c>
      <c r="U43" s="71">
        <v>43</v>
      </c>
      <c r="V43" s="79">
        <v>781</v>
      </c>
    </row>
    <row r="44" spans="1:22" s="10" customFormat="1" ht="15" customHeight="1">
      <c r="C44" s="34"/>
      <c r="D44" s="27" t="s">
        <v>11</v>
      </c>
      <c r="E44" s="33"/>
      <c r="F44" s="75">
        <f t="shared" si="33"/>
        <v>227186</v>
      </c>
      <c r="G44" s="75">
        <f t="shared" si="33"/>
        <v>49688</v>
      </c>
      <c r="H44" s="72">
        <f t="shared" si="33"/>
        <v>0</v>
      </c>
      <c r="I44" s="75">
        <f t="shared" si="33"/>
        <v>291759</v>
      </c>
      <c r="J44" s="65">
        <f t="shared" si="34"/>
        <v>3.572250845274513</v>
      </c>
      <c r="K44" s="65" t="str">
        <f t="shared" si="35"/>
        <v>n/a</v>
      </c>
      <c r="L44" s="61">
        <f t="shared" si="36"/>
        <v>-0.2213230782940715</v>
      </c>
      <c r="M44" s="83">
        <f>+M17-'Mar-22'!M14</f>
        <v>963849</v>
      </c>
      <c r="N44" s="83">
        <f>+N17-'Mar-22'!N14</f>
        <v>78164</v>
      </c>
      <c r="O44" s="83">
        <f>+O17-'Mar-22'!O14</f>
        <v>0</v>
      </c>
      <c r="P44" s="83">
        <f>+P17-'Mar-22'!P14</f>
        <v>1341508</v>
      </c>
      <c r="Q44" s="65">
        <f>IFERROR(M44/N44-1,"n/a")</f>
        <v>11.33111150913464</v>
      </c>
      <c r="R44" s="65" t="str">
        <f>IFERROR(M44/O44-1,"n/a")</f>
        <v>n/a</v>
      </c>
      <c r="S44" s="61">
        <f t="shared" si="37"/>
        <v>-0.28151826153850745</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67</v>
      </c>
      <c r="G46" s="72">
        <f t="shared" si="38"/>
        <v>0</v>
      </c>
      <c r="H46" s="72">
        <f t="shared" si="38"/>
        <v>0</v>
      </c>
      <c r="I46" s="75">
        <f t="shared" si="38"/>
        <v>27</v>
      </c>
      <c r="J46" s="65" t="str">
        <f t="shared" ref="J46:J47" si="39">IFERROR(F46/G46-1,"n/a")</f>
        <v>n/a</v>
      </c>
      <c r="K46" s="65" t="str">
        <f t="shared" ref="K46:K47" si="40">IFERROR(F46/H46-1,"n/a")</f>
        <v>n/a</v>
      </c>
      <c r="L46" s="61">
        <f>IFERROR(F46/I46-1,"n/a")</f>
        <v>1.4814814814814814</v>
      </c>
      <c r="M46" s="71">
        <f>+M19-'Mar-22'!M16</f>
        <v>284</v>
      </c>
      <c r="N46" s="83">
        <f>+N19-'Mar-22'!N16</f>
        <v>0</v>
      </c>
      <c r="O46" s="83">
        <f>+O19-'Mar-22'!O16</f>
        <v>1</v>
      </c>
      <c r="P46" s="83">
        <f>+P19-'Mar-22'!P16</f>
        <v>122</v>
      </c>
      <c r="Q46" s="65" t="str">
        <f>IFERROR(M46/N46-1,"n/a")</f>
        <v>n/a</v>
      </c>
      <c r="R46" s="65">
        <f>IFERROR(M46/O46-1,"n/a")</f>
        <v>283</v>
      </c>
      <c r="S46" s="61">
        <f t="shared" ref="S46:S47" si="41">IFERROR(M46/P46-1,"n/a")</f>
        <v>1.3278688524590163</v>
      </c>
      <c r="T46" s="90">
        <v>33</v>
      </c>
      <c r="U46" s="71">
        <v>4</v>
      </c>
      <c r="V46" s="79">
        <v>188</v>
      </c>
    </row>
    <row r="47" spans="1:22" s="10" customFormat="1" ht="15" customHeight="1">
      <c r="C47" s="34"/>
      <c r="D47" s="27" t="s">
        <v>11</v>
      </c>
      <c r="E47" s="33"/>
      <c r="F47" s="75">
        <f t="shared" si="38"/>
        <v>102451</v>
      </c>
      <c r="G47" s="72">
        <f t="shared" si="38"/>
        <v>0</v>
      </c>
      <c r="H47" s="72">
        <f t="shared" si="38"/>
        <v>0</v>
      </c>
      <c r="I47" s="75">
        <f t="shared" si="38"/>
        <v>50351</v>
      </c>
      <c r="J47" s="65" t="str">
        <f t="shared" si="39"/>
        <v>n/a</v>
      </c>
      <c r="K47" s="65" t="str">
        <f t="shared" si="40"/>
        <v>n/a</v>
      </c>
      <c r="L47" s="61">
        <f t="shared" ref="L47" si="42">IFERROR(F47/I47-1,"n/a")</f>
        <v>1.0347361522114755</v>
      </c>
      <c r="M47" s="83">
        <f>+M20-'Mar-22'!M17</f>
        <v>340657</v>
      </c>
      <c r="N47" s="83">
        <f>+N20-'Mar-22'!N17</f>
        <v>0</v>
      </c>
      <c r="O47" s="83">
        <f>+O20-'Mar-22'!O17</f>
        <v>111</v>
      </c>
      <c r="P47" s="83">
        <f>+P20-'Mar-22'!P17</f>
        <v>162404</v>
      </c>
      <c r="Q47" s="65" t="str">
        <f>IFERROR(M47/N47-1,"n/a")</f>
        <v>n/a</v>
      </c>
      <c r="R47" s="65">
        <f>IFERROR(M47/O47-1,"n/a")</f>
        <v>3067.9819819819818</v>
      </c>
      <c r="S47" s="61">
        <f t="shared" si="41"/>
        <v>1.0975899608384032</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81</v>
      </c>
      <c r="G49" s="75">
        <f t="shared" si="43"/>
        <v>44</v>
      </c>
      <c r="H49" s="72">
        <f t="shared" si="43"/>
        <v>0</v>
      </c>
      <c r="I49" s="75">
        <f t="shared" si="43"/>
        <v>93</v>
      </c>
      <c r="J49" s="65">
        <f t="shared" ref="J49:J50" si="44">IFERROR(F49/G49-1,"n/a")</f>
        <v>0.84090909090909083</v>
      </c>
      <c r="K49" s="65" t="str">
        <f t="shared" ref="K49:K50" si="45">IFERROR(F49/H49-1,"n/a")</f>
        <v>n/a</v>
      </c>
      <c r="L49" s="61">
        <f t="shared" ref="L49:L50" si="46">IFERROR(F49/I49-1,"n/a")</f>
        <v>-0.12903225806451613</v>
      </c>
      <c r="M49" s="71">
        <f>+M22-'Mar-22'!M19</f>
        <v>431</v>
      </c>
      <c r="N49" s="71">
        <f>+N22-'Mar-22'!N19</f>
        <v>73</v>
      </c>
      <c r="O49" s="71">
        <f>+O22-'Mar-22'!O19</f>
        <v>42</v>
      </c>
      <c r="P49" s="71">
        <f>+P22-'Mar-22'!P19</f>
        <v>464</v>
      </c>
      <c r="Q49" s="65">
        <f>IFERROR(M49/N49-1,"n/a")</f>
        <v>4.904109589041096</v>
      </c>
      <c r="R49" s="65">
        <f>IFERROR(M49/O49-1,"n/a")</f>
        <v>9.2619047619047628</v>
      </c>
      <c r="S49" s="61">
        <f>IFERROR(M49/P49-1,"n/a")</f>
        <v>-7.1120689655172376E-2</v>
      </c>
      <c r="T49" s="90">
        <v>744</v>
      </c>
      <c r="U49" s="85">
        <v>406</v>
      </c>
      <c r="V49" s="79">
        <v>1253</v>
      </c>
    </row>
    <row r="50" spans="3:22" s="10" customFormat="1" ht="15" customHeight="1">
      <c r="C50" s="34"/>
      <c r="D50" s="27" t="s">
        <v>11</v>
      </c>
      <c r="E50" s="33"/>
      <c r="F50" s="74">
        <f t="shared" si="43"/>
        <v>278520</v>
      </c>
      <c r="G50" s="75">
        <f t="shared" si="43"/>
        <v>64775</v>
      </c>
      <c r="H50" s="72">
        <f t="shared" si="43"/>
        <v>0</v>
      </c>
      <c r="I50" s="75">
        <f t="shared" si="43"/>
        <v>315639</v>
      </c>
      <c r="J50" s="65">
        <f t="shared" si="44"/>
        <v>3.2998070243149362</v>
      </c>
      <c r="K50" s="65" t="str">
        <f t="shared" si="45"/>
        <v>n/a</v>
      </c>
      <c r="L50" s="61">
        <f t="shared" si="46"/>
        <v>-0.11759953617898933</v>
      </c>
      <c r="M50" s="83">
        <f>+M23-'Mar-22'!M20</f>
        <v>1317232</v>
      </c>
      <c r="N50" s="83">
        <f>+N23-'Mar-22'!N20</f>
        <v>100033</v>
      </c>
      <c r="O50" s="83">
        <f>+O23-'Mar-22'!O20</f>
        <v>0</v>
      </c>
      <c r="P50" s="83">
        <f>+P23-'Mar-22'!P20</f>
        <v>1583513</v>
      </c>
      <c r="Q50" s="65">
        <f>IFERROR(M50/N50-1,"n/a")</f>
        <v>12.167974568392431</v>
      </c>
      <c r="R50" s="65" t="str">
        <f>IFERROR(M50/O50-1,"n/a")</f>
        <v>n/a</v>
      </c>
      <c r="S50" s="61">
        <f t="shared" ref="S50" si="47">IFERROR(M50/P50-1,"n/a")</f>
        <v>-0.16815839213192441</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32</v>
      </c>
      <c r="G52" s="75">
        <f t="shared" si="48"/>
        <v>17</v>
      </c>
      <c r="H52" s="72">
        <f t="shared" si="48"/>
        <v>2</v>
      </c>
      <c r="I52" s="75">
        <f t="shared" si="48"/>
        <v>35</v>
      </c>
      <c r="J52" s="65">
        <f t="shared" ref="J52:J53" si="49">IFERROR(F52/G52-1,"n/a")</f>
        <v>0.88235294117647056</v>
      </c>
      <c r="K52" s="65">
        <f t="shared" ref="K52:K53" si="50">IFERROR(F52/H52-1,"n/a")</f>
        <v>15</v>
      </c>
      <c r="L52" s="61">
        <f t="shared" ref="L52:L53" si="51">IFERROR(F52/I52-1,"n/a")</f>
        <v>-8.5714285714285743E-2</v>
      </c>
      <c r="M52" s="71">
        <f>+M25-'Mar-22'!M22</f>
        <v>165</v>
      </c>
      <c r="N52" s="71">
        <f>+N25-'Mar-22'!N22</f>
        <v>45</v>
      </c>
      <c r="O52" s="83">
        <f>+O25-'Mar-22'!O22</f>
        <v>2</v>
      </c>
      <c r="P52" s="71">
        <f>+P25-'Mar-22'!P22</f>
        <v>184</v>
      </c>
      <c r="Q52" s="65">
        <f>IFERROR(M52/N52-1,"n/a")</f>
        <v>2.6666666666666665</v>
      </c>
      <c r="R52" s="65">
        <f>IFERROR(M52/O52-1,"n/a")</f>
        <v>81.5</v>
      </c>
      <c r="S52" s="61">
        <f t="shared" ref="S52:S53" si="52">IFERROR(M52/P52-1,"n/a")</f>
        <v>-0.10326086956521741</v>
      </c>
      <c r="T52" s="90">
        <v>121</v>
      </c>
      <c r="U52" s="71">
        <v>41</v>
      </c>
      <c r="V52" s="79">
        <v>361</v>
      </c>
    </row>
    <row r="53" spans="3:22" s="10" customFormat="1" ht="15" customHeight="1">
      <c r="C53" s="34"/>
      <c r="D53" s="27" t="s">
        <v>11</v>
      </c>
      <c r="E53" s="33"/>
      <c r="F53" s="75">
        <f t="shared" si="48"/>
        <v>96458</v>
      </c>
      <c r="G53" s="75">
        <f t="shared" si="48"/>
        <v>24100</v>
      </c>
      <c r="H53" s="72">
        <f t="shared" si="48"/>
        <v>2541</v>
      </c>
      <c r="I53" s="75">
        <f t="shared" si="48"/>
        <v>108905</v>
      </c>
      <c r="J53" s="65">
        <f t="shared" si="49"/>
        <v>3.0024066390041497</v>
      </c>
      <c r="K53" s="65">
        <f t="shared" si="50"/>
        <v>36.960645415190868</v>
      </c>
      <c r="L53" s="61">
        <f t="shared" si="51"/>
        <v>-0.11429227308204404</v>
      </c>
      <c r="M53" s="83">
        <f>+M26-'Mar-22'!M23</f>
        <v>319986</v>
      </c>
      <c r="N53" s="83">
        <f>+N26-'Mar-22'!N23</f>
        <v>61586</v>
      </c>
      <c r="O53" s="83">
        <f>+O26-'Mar-22'!O23</f>
        <v>2541</v>
      </c>
      <c r="P53" s="83">
        <f>+P26-'Mar-22'!P23</f>
        <v>509765</v>
      </c>
      <c r="Q53" s="65">
        <f>IFERROR(M53/N53-1,"n/a")</f>
        <v>4.1957587763452731</v>
      </c>
      <c r="R53" s="65">
        <f>IFERROR(M53/O53-1,"n/a")</f>
        <v>124.92916174734357</v>
      </c>
      <c r="S53" s="61">
        <f t="shared" si="52"/>
        <v>-0.37228723039047407</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 customHeight="1">
      <c r="C55" s="34"/>
      <c r="D55" s="27" t="s">
        <v>5</v>
      </c>
      <c r="E55" s="33"/>
      <c r="F55" s="75">
        <f t="shared" ref="F55:I56" si="53">F28</f>
        <v>72</v>
      </c>
      <c r="G55" s="75">
        <f t="shared" si="53"/>
        <v>16</v>
      </c>
      <c r="H55" s="72">
        <f t="shared" si="53"/>
        <v>3</v>
      </c>
      <c r="I55" s="75">
        <f t="shared" si="53"/>
        <v>44</v>
      </c>
      <c r="J55" s="65">
        <f t="shared" ref="J55:J58" si="54">IFERROR(F55/G55-1,"n/a")</f>
        <v>3.5</v>
      </c>
      <c r="K55" s="65">
        <f t="shared" ref="K55:K58" si="55">IFERROR(F55/H55-1,"n/a")</f>
        <v>23</v>
      </c>
      <c r="L55" s="61">
        <f t="shared" ref="L55:L58" si="56">IFERROR(F55/I55-1,"n/a")</f>
        <v>0.63636363636363646</v>
      </c>
      <c r="M55" s="71">
        <f>+M28-'Mar-22'!M25</f>
        <v>330</v>
      </c>
      <c r="N55" s="71">
        <f>+N28-'Mar-22'!N25</f>
        <v>53</v>
      </c>
      <c r="O55" s="71">
        <f>+O28-'Mar-22'!O25</f>
        <v>4</v>
      </c>
      <c r="P55" s="71">
        <f>+P28-'Mar-22'!P25</f>
        <v>212</v>
      </c>
      <c r="Q55" s="65">
        <f>IFERROR(M55/N55-1,"n/a")</f>
        <v>5.2264150943396226</v>
      </c>
      <c r="R55" s="65">
        <f>IFERROR(M55/O55-1,"n/a")</f>
        <v>81.5</v>
      </c>
      <c r="S55" s="61">
        <f t="shared" ref="S55:S58" si="57">IFERROR(M55/P55-1,"n/a")</f>
        <v>0.55660377358490565</v>
      </c>
      <c r="T55" s="90">
        <v>140</v>
      </c>
      <c r="U55" s="71">
        <v>40</v>
      </c>
      <c r="V55" s="79">
        <v>360</v>
      </c>
    </row>
    <row r="56" spans="3:22" ht="15.4" customHeight="1">
      <c r="C56" s="34"/>
      <c r="D56" s="27" t="s">
        <v>11</v>
      </c>
      <c r="E56" s="33"/>
      <c r="F56" s="75">
        <f t="shared" si="53"/>
        <v>185962</v>
      </c>
      <c r="G56" s="75">
        <f t="shared" si="53"/>
        <v>25181</v>
      </c>
      <c r="H56" s="72">
        <f t="shared" si="53"/>
        <v>0</v>
      </c>
      <c r="I56" s="75">
        <f t="shared" si="53"/>
        <v>149851</v>
      </c>
      <c r="J56" s="65">
        <f t="shared" si="54"/>
        <v>6.3850125094317143</v>
      </c>
      <c r="K56" s="65" t="str">
        <f t="shared" si="55"/>
        <v>n/a</v>
      </c>
      <c r="L56" s="61">
        <f t="shared" si="56"/>
        <v>0.24097937284369131</v>
      </c>
      <c r="M56" s="83">
        <f>+M29-'Mar-22'!M26</f>
        <v>532681</v>
      </c>
      <c r="N56" s="83">
        <f>+N29-'Mar-22'!N26</f>
        <v>79675</v>
      </c>
      <c r="O56" s="83">
        <f>+O29-'Mar-22'!O26</f>
        <v>8294</v>
      </c>
      <c r="P56" s="83">
        <f>+P29-'Mar-22'!P26</f>
        <v>586871</v>
      </c>
      <c r="Q56" s="65">
        <f>IFERROR(M56/N56-1,"n/a")</f>
        <v>5.6856730467524317</v>
      </c>
      <c r="R56" s="65">
        <f>IFERROR(M56/O56-1,"n/a")</f>
        <v>63.224861345551005</v>
      </c>
      <c r="S56" s="61">
        <f t="shared" si="57"/>
        <v>-9.2337157569551076E-2</v>
      </c>
      <c r="T56" s="83">
        <v>174336</v>
      </c>
      <c r="U56" s="85">
        <v>21928</v>
      </c>
      <c r="V56" s="79">
        <f>706948+155011</f>
        <v>861959</v>
      </c>
    </row>
    <row r="57" spans="3:22" ht="26.65" customHeight="1" thickBot="1">
      <c r="C57" s="36" t="s">
        <v>12</v>
      </c>
      <c r="D57" s="37"/>
      <c r="E57" s="38"/>
      <c r="F57" s="76">
        <f t="shared" ref="F57:I58" si="58">F40+F43+F46+F49+F52+F55</f>
        <v>309</v>
      </c>
      <c r="G57" s="76">
        <f t="shared" si="58"/>
        <v>108</v>
      </c>
      <c r="H57" s="76">
        <f t="shared" si="58"/>
        <v>5</v>
      </c>
      <c r="I57" s="76">
        <f t="shared" si="58"/>
        <v>272</v>
      </c>
      <c r="J57" s="67">
        <f t="shared" si="54"/>
        <v>1.8611111111111112</v>
      </c>
      <c r="K57" s="67">
        <f t="shared" si="55"/>
        <v>60.8</v>
      </c>
      <c r="L57" s="63">
        <f t="shared" si="56"/>
        <v>0.13602941176470584</v>
      </c>
      <c r="M57" s="47">
        <f t="shared" ref="M57:P58" si="59">M40+M43+M46+M49+M52+M55</f>
        <v>1635</v>
      </c>
      <c r="N57" s="47">
        <f t="shared" si="59"/>
        <v>222</v>
      </c>
      <c r="O57" s="47">
        <f t="shared" si="59"/>
        <v>49</v>
      </c>
      <c r="P57" s="47">
        <f t="shared" si="59"/>
        <v>1442</v>
      </c>
      <c r="Q57" s="67">
        <f>IFERROR(M57/N57-1,"n/a")</f>
        <v>6.3648648648648649</v>
      </c>
      <c r="R57" s="67">
        <f>IFERROR(M57/O57-1,"n/a")</f>
        <v>32.367346938775512</v>
      </c>
      <c r="S57" s="63">
        <f t="shared" si="57"/>
        <v>0.13384188626907068</v>
      </c>
      <c r="T57" s="47">
        <f t="shared" ref="T57:V58" si="60">T40+T43+T46+T49+T52+T55</f>
        <v>1682</v>
      </c>
      <c r="U57" s="47">
        <f t="shared" si="60"/>
        <v>679</v>
      </c>
      <c r="V57" s="81">
        <f t="shared" si="60"/>
        <v>3274</v>
      </c>
    </row>
    <row r="58" spans="3:22" ht="26.65" customHeight="1" thickTop="1" thickBot="1">
      <c r="C58" s="39" t="s">
        <v>13</v>
      </c>
      <c r="D58" s="40"/>
      <c r="E58" s="41"/>
      <c r="F58" s="77">
        <f t="shared" si="58"/>
        <v>890577</v>
      </c>
      <c r="G58" s="77">
        <f t="shared" si="58"/>
        <v>165560</v>
      </c>
      <c r="H58" s="77">
        <f t="shared" si="58"/>
        <v>2541</v>
      </c>
      <c r="I58" s="77">
        <f t="shared" si="58"/>
        <v>926112</v>
      </c>
      <c r="J58" s="68">
        <f t="shared" si="54"/>
        <v>4.3791797535636627</v>
      </c>
      <c r="K58" s="68">
        <f t="shared" si="55"/>
        <v>349.48288075560805</v>
      </c>
      <c r="L58" s="64">
        <f t="shared" si="56"/>
        <v>-3.8370089146885E-2</v>
      </c>
      <c r="M58" s="48">
        <f t="shared" si="59"/>
        <v>3512246</v>
      </c>
      <c r="N58" s="48">
        <f t="shared" si="59"/>
        <v>322041</v>
      </c>
      <c r="O58" s="48">
        <f t="shared" si="59"/>
        <v>10946</v>
      </c>
      <c r="P58" s="48">
        <f t="shared" si="59"/>
        <v>4279812</v>
      </c>
      <c r="Q58" s="68">
        <f>IFERROR(M58/N58-1,"n/a")</f>
        <v>9.9062075946851493</v>
      </c>
      <c r="R58" s="68">
        <f>IFERROR(M58/O58-1,"n/a")</f>
        <v>319.87027224556914</v>
      </c>
      <c r="S58" s="64">
        <f t="shared" si="57"/>
        <v>-0.17934572827030715</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zoomScale="85" zoomScaleNormal="85" zoomScalePageLayoutView="40" workbookViewId="0">
      <selection activeCell="F13" sqref="F13"/>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56</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02" t="s">
        <v>55</v>
      </c>
      <c r="G9" s="102"/>
      <c r="H9" s="102"/>
      <c r="I9" s="102"/>
      <c r="J9" s="102"/>
      <c r="K9" s="102"/>
      <c r="L9" s="103"/>
      <c r="M9" s="104" t="s">
        <v>60</v>
      </c>
      <c r="N9" s="102"/>
      <c r="O9" s="102"/>
      <c r="P9" s="102"/>
      <c r="Q9" s="102"/>
      <c r="R9" s="102"/>
      <c r="S9" s="103"/>
      <c r="T9" s="104" t="s">
        <v>57</v>
      </c>
      <c r="U9" s="102"/>
      <c r="V9" s="105"/>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5">
        <v>1</v>
      </c>
      <c r="G13" s="75">
        <v>6</v>
      </c>
      <c r="H13" s="72">
        <v>0</v>
      </c>
      <c r="I13" s="72">
        <v>6</v>
      </c>
      <c r="J13" s="65">
        <f t="shared" ref="J13:J31" si="0">IFERROR(F13/G13-1,"n/a")</f>
        <v>-0.83333333333333337</v>
      </c>
      <c r="K13" s="65" t="str">
        <f>IFERROR(F13/H13-1,"n/a")</f>
        <v>n/a</v>
      </c>
      <c r="L13" s="61">
        <f t="shared" ref="L13:L14" si="1">IFERROR(F13/I13-1,"n/a")</f>
        <v>-0.83333333333333337</v>
      </c>
      <c r="M13" s="69">
        <f>F13+'Jun-22'!M10</f>
        <v>227</v>
      </c>
      <c r="N13" s="69">
        <f>G13+'Jun-22'!N10</f>
        <v>6</v>
      </c>
      <c r="O13" s="69">
        <f>H13+'Jun-22'!O10</f>
        <v>145</v>
      </c>
      <c r="P13" s="69">
        <f>I13+'Jun-22'!P10</f>
        <v>246</v>
      </c>
      <c r="Q13" s="65">
        <f>IFERROR(M13/N13-1,"n/a")</f>
        <v>36.833333333333336</v>
      </c>
      <c r="R13" s="65">
        <f>IFERROR(M13/O13-1,"n/a")</f>
        <v>0.56551724137931036</v>
      </c>
      <c r="S13" s="61">
        <f>IFERROR(M13/P13-1,"n/a")</f>
        <v>-7.7235772357723609E-2</v>
      </c>
      <c r="T13" s="69">
        <v>111</v>
      </c>
      <c r="U13" s="71">
        <v>145</v>
      </c>
      <c r="V13" s="79">
        <v>386</v>
      </c>
    </row>
    <row r="14" spans="1:38" ht="15">
      <c r="A14" s="10"/>
      <c r="B14" s="13"/>
      <c r="C14" s="34"/>
      <c r="D14" s="27" t="s">
        <v>11</v>
      </c>
      <c r="E14" s="33"/>
      <c r="F14" s="75">
        <v>3145</v>
      </c>
      <c r="G14" s="75">
        <v>767</v>
      </c>
      <c r="H14" s="72">
        <v>0</v>
      </c>
      <c r="I14" s="75">
        <v>10620</v>
      </c>
      <c r="J14" s="65">
        <f t="shared" si="0"/>
        <v>3.1003911342894392</v>
      </c>
      <c r="K14" s="65" t="str">
        <f t="shared" ref="K14" si="2">IFERROR(F14/H14-1,"n/a")</f>
        <v>n/a</v>
      </c>
      <c r="L14" s="61">
        <f t="shared" si="1"/>
        <v>-0.70386064030131834</v>
      </c>
      <c r="M14" s="69">
        <f>F14+'Jun-22'!M11</f>
        <v>194169</v>
      </c>
      <c r="N14" s="69">
        <f>G14+'Jun-22'!N11</f>
        <v>767</v>
      </c>
      <c r="O14" s="69">
        <f>H14+'Jun-22'!O11</f>
        <v>258885</v>
      </c>
      <c r="P14" s="69">
        <f>I14+'Jun-22'!P11</f>
        <v>471524</v>
      </c>
      <c r="Q14" s="65">
        <f>IFERROR(M14/N14-1,"n/a")</f>
        <v>252.15384615384616</v>
      </c>
      <c r="R14" s="65">
        <f>IFERROR(M14/O14-1,"n/a")</f>
        <v>-0.24997972072541863</v>
      </c>
      <c r="S14" s="61">
        <f>IFERROR(M14/P14-1,"n/a")</f>
        <v>-0.58820971997183602</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71</v>
      </c>
      <c r="G16" s="75">
        <v>10</v>
      </c>
      <c r="H16" s="72">
        <v>0</v>
      </c>
      <c r="I16" s="75">
        <v>68</v>
      </c>
      <c r="J16" s="65">
        <f t="shared" si="0"/>
        <v>6.1</v>
      </c>
      <c r="K16" s="65" t="str">
        <f t="shared" ref="K16:K17" si="3">IFERROR(F16/H16-1,"n/a")</f>
        <v>n/a</v>
      </c>
      <c r="L16" s="61">
        <f t="shared" ref="L16:L17" si="4">IFERROR(F16/I16-1,"n/a")</f>
        <v>4.4117647058823595E-2</v>
      </c>
      <c r="M16" s="69">
        <f>F16+'Jun-22'!M13</f>
        <v>391</v>
      </c>
      <c r="N16" s="69">
        <f>G16+'Jun-22'!N13</f>
        <v>14</v>
      </c>
      <c r="O16" s="69">
        <f>H16+'Jun-22'!O13</f>
        <v>43</v>
      </c>
      <c r="P16" s="69">
        <f>I16+'Jun-22'!P13</f>
        <v>430</v>
      </c>
      <c r="Q16" s="65">
        <f t="shared" ref="Q16:Q17" si="5">IFERROR(M16/N16-1,"n/a")</f>
        <v>26.928571428571427</v>
      </c>
      <c r="R16" s="65">
        <f t="shared" ref="R16:R17" si="6">IFERROR(M16/O16-1,"n/a")</f>
        <v>8.0930232558139537</v>
      </c>
      <c r="S16" s="61">
        <f t="shared" ref="S16:S17" si="7">IFERROR(M16/P16-1,"n/a")</f>
        <v>-9.0697674418604657E-2</v>
      </c>
      <c r="T16" s="69">
        <v>283</v>
      </c>
      <c r="U16" s="71">
        <v>43</v>
      </c>
      <c r="V16" s="79">
        <v>827</v>
      </c>
    </row>
    <row r="17" spans="1:38" ht="15">
      <c r="A17" s="10"/>
      <c r="B17" s="13"/>
      <c r="C17" s="34"/>
      <c r="D17" s="27" t="s">
        <v>11</v>
      </c>
      <c r="E17" s="33"/>
      <c r="F17" s="75">
        <v>271417</v>
      </c>
      <c r="G17" s="75">
        <v>23553</v>
      </c>
      <c r="H17" s="72">
        <v>0</v>
      </c>
      <c r="I17" s="75">
        <v>261197</v>
      </c>
      <c r="J17" s="65">
        <f t="shared" si="0"/>
        <v>10.523670020804143</v>
      </c>
      <c r="K17" s="65" t="str">
        <f t="shared" si="3"/>
        <v>n/a</v>
      </c>
      <c r="L17" s="61">
        <f t="shared" si="4"/>
        <v>3.9127555063802388E-2</v>
      </c>
      <c r="M17" s="69">
        <f>F17+'Jun-22'!M14</f>
        <v>805117</v>
      </c>
      <c r="N17" s="69">
        <f>G17+'Jun-22'!N14</f>
        <v>28476</v>
      </c>
      <c r="O17" s="69">
        <f>H17+'Jun-22'!O14</f>
        <v>140552</v>
      </c>
      <c r="P17" s="69">
        <f>I17+'Jun-22'!P14</f>
        <v>1301649</v>
      </c>
      <c r="Q17" s="65">
        <f t="shared" si="5"/>
        <v>27.273528585475489</v>
      </c>
      <c r="R17" s="65">
        <f t="shared" si="6"/>
        <v>4.7282500426888268</v>
      </c>
      <c r="S17" s="61">
        <f t="shared" si="7"/>
        <v>-0.38146382012355096</v>
      </c>
      <c r="T17" s="69">
        <v>465109</v>
      </c>
      <c r="U17" s="71">
        <v>140552</v>
      </c>
      <c r="V17" s="79">
        <v>2552942</v>
      </c>
    </row>
    <row r="18" spans="1:38" ht="15">
      <c r="A18" s="10"/>
      <c r="B18" s="13"/>
      <c r="C18" s="32" t="s">
        <v>15</v>
      </c>
      <c r="D18" s="27"/>
      <c r="E18" s="33"/>
      <c r="F18" s="73"/>
      <c r="G18" s="73"/>
      <c r="H18" s="73"/>
      <c r="I18" s="73"/>
      <c r="J18" s="65"/>
      <c r="K18" s="65"/>
      <c r="L18" s="61"/>
      <c r="M18" s="88"/>
      <c r="N18" s="88"/>
      <c r="O18" s="88"/>
      <c r="P18" s="88"/>
      <c r="Q18" s="65"/>
      <c r="R18" s="65"/>
      <c r="S18" s="61"/>
      <c r="T18" s="44"/>
      <c r="U18" s="45"/>
      <c r="V18" s="80"/>
    </row>
    <row r="19" spans="1:38" ht="15">
      <c r="A19" s="10"/>
      <c r="B19" s="13"/>
      <c r="C19" s="34"/>
      <c r="D19" s="27" t="s">
        <v>5</v>
      </c>
      <c r="E19" s="33"/>
      <c r="F19" s="75">
        <v>60</v>
      </c>
      <c r="G19" s="72">
        <v>0</v>
      </c>
      <c r="H19" s="72">
        <v>1</v>
      </c>
      <c r="I19" s="75">
        <v>32</v>
      </c>
      <c r="J19" s="65" t="str">
        <f t="shared" si="0"/>
        <v>n/a</v>
      </c>
      <c r="K19" s="65">
        <f t="shared" ref="K19:K20" si="8">IFERROR(F19/H19-1,"n/a")</f>
        <v>59</v>
      </c>
      <c r="L19" s="61">
        <f>IFERROR(F19/I19-1,"n/a")</f>
        <v>0.875</v>
      </c>
      <c r="M19" s="69">
        <f>F19+'Jun-22'!M16</f>
        <v>227</v>
      </c>
      <c r="N19" s="69">
        <f>G19+'Jun-22'!N16</f>
        <v>0</v>
      </c>
      <c r="O19" s="69">
        <f>H19+'Jun-22'!O16</f>
        <v>4</v>
      </c>
      <c r="P19" s="69">
        <f>I19+'Jun-22'!P16</f>
        <v>101</v>
      </c>
      <c r="Q19" s="65" t="str">
        <f t="shared" ref="Q19:Q20" si="9">IFERROR(M19/N19-1,"n/a")</f>
        <v>n/a</v>
      </c>
      <c r="R19" s="65">
        <f t="shared" ref="R19:R20" si="10">IFERROR(M19/O19-1,"n/a")</f>
        <v>55.75</v>
      </c>
      <c r="S19" s="61">
        <f t="shared" ref="S19:S20" si="11">IFERROR(M19/P19-1,"n/a")</f>
        <v>1.2475247524752477</v>
      </c>
      <c r="T19" s="69">
        <v>23</v>
      </c>
      <c r="U19" s="71">
        <v>4</v>
      </c>
      <c r="V19" s="79">
        <v>191</v>
      </c>
    </row>
    <row r="20" spans="1:38" ht="15">
      <c r="A20" s="10"/>
      <c r="B20" s="13"/>
      <c r="C20" s="34"/>
      <c r="D20" s="27" t="s">
        <v>11</v>
      </c>
      <c r="E20" s="33"/>
      <c r="F20" s="75">
        <f>66070+15120</f>
        <v>81190</v>
      </c>
      <c r="G20" s="72">
        <v>0</v>
      </c>
      <c r="H20" s="72">
        <v>111</v>
      </c>
      <c r="I20" s="75">
        <f>26433+14218</f>
        <v>40651</v>
      </c>
      <c r="J20" s="65" t="str">
        <f t="shared" si="0"/>
        <v>n/a</v>
      </c>
      <c r="K20" s="65">
        <f t="shared" si="8"/>
        <v>730.4414414414415</v>
      </c>
      <c r="L20" s="61">
        <f t="shared" ref="L20:L31" si="12">IFERROR(F20/I20-1,"n/a")</f>
        <v>0.99724484022533266</v>
      </c>
      <c r="M20" s="69">
        <f>F20+'Jun-22'!M17</f>
        <v>239678</v>
      </c>
      <c r="N20" s="69">
        <f>G20+'Jun-22'!N17</f>
        <v>0</v>
      </c>
      <c r="O20" s="69">
        <f>H20+'Jun-22'!O17</f>
        <v>1753</v>
      </c>
      <c r="P20" s="69">
        <f>I20+'Jun-22'!P17</f>
        <v>117191</v>
      </c>
      <c r="Q20" s="65" t="str">
        <f t="shared" si="9"/>
        <v>n/a</v>
      </c>
      <c r="R20" s="65">
        <f t="shared" si="10"/>
        <v>135.72447233314318</v>
      </c>
      <c r="S20" s="61">
        <f t="shared" si="11"/>
        <v>1.0451911836233156</v>
      </c>
      <c r="T20" s="69">
        <v>8611</v>
      </c>
      <c r="U20" s="71">
        <v>1753</v>
      </c>
      <c r="V20" s="79">
        <v>254421</v>
      </c>
    </row>
    <row r="21" spans="1:38" ht="15">
      <c r="A21" s="10"/>
      <c r="B21" s="13"/>
      <c r="C21" s="32" t="s">
        <v>10</v>
      </c>
      <c r="D21" s="27"/>
      <c r="E21" s="35"/>
      <c r="F21" s="73"/>
      <c r="G21" s="73"/>
      <c r="H21" s="73"/>
      <c r="I21" s="73"/>
      <c r="J21" s="65"/>
      <c r="K21" s="65"/>
      <c r="L21" s="61"/>
      <c r="M21" s="88"/>
      <c r="N21" s="88"/>
      <c r="O21" s="88"/>
      <c r="P21" s="88"/>
      <c r="Q21" s="65"/>
      <c r="R21" s="65"/>
      <c r="S21" s="61"/>
      <c r="T21" s="44"/>
      <c r="U21" s="45"/>
      <c r="V21" s="80"/>
    </row>
    <row r="22" spans="1:38" ht="15">
      <c r="A22" s="10"/>
      <c r="B22" s="13"/>
      <c r="C22" s="34"/>
      <c r="D22" s="27" t="s">
        <v>5</v>
      </c>
      <c r="E22" s="35"/>
      <c r="F22" s="74">
        <v>83</v>
      </c>
      <c r="G22" s="75">
        <v>22</v>
      </c>
      <c r="H22" s="72">
        <v>0</v>
      </c>
      <c r="I22" s="75">
        <v>95</v>
      </c>
      <c r="J22" s="65">
        <f t="shared" si="0"/>
        <v>2.7727272727272729</v>
      </c>
      <c r="K22" s="65" t="str">
        <f t="shared" ref="K22:K23" si="13">IFERROR(F22/H22-1,"n/a")</f>
        <v>n/a</v>
      </c>
      <c r="L22" s="61">
        <f t="shared" si="12"/>
        <v>-0.12631578947368416</v>
      </c>
      <c r="M22" s="69">
        <f>F22+'Jun-22'!M19</f>
        <v>683</v>
      </c>
      <c r="N22" s="69">
        <f>G22+'Jun-22'!N19</f>
        <v>29</v>
      </c>
      <c r="O22" s="69">
        <f>H22+'Jun-22'!O19</f>
        <v>406</v>
      </c>
      <c r="P22" s="69">
        <f>I22+'Jun-22'!P19</f>
        <v>687</v>
      </c>
      <c r="Q22" s="65">
        <f t="shared" ref="Q22:Q23" si="14">IFERROR(M22/N22-1,"n/a")</f>
        <v>22.551724137931036</v>
      </c>
      <c r="R22" s="65">
        <f t="shared" ref="R22:R23" si="15">IFERROR(M22/O22-1,"n/a")</f>
        <v>0.68226600985221686</v>
      </c>
      <c r="S22" s="61">
        <f t="shared" ref="S22:S23" si="16">IFERROR(M22/P22-1,"n/a")</f>
        <v>-5.8224163027656983E-3</v>
      </c>
      <c r="T22" s="69">
        <v>411</v>
      </c>
      <c r="U22" s="71">
        <v>406</v>
      </c>
      <c r="V22" s="79">
        <v>1205</v>
      </c>
    </row>
    <row r="23" spans="1:38" ht="15">
      <c r="A23" s="10"/>
      <c r="B23" s="13"/>
      <c r="C23" s="34"/>
      <c r="D23" s="27" t="s">
        <v>11</v>
      </c>
      <c r="E23" s="33"/>
      <c r="F23" s="74">
        <v>288977</v>
      </c>
      <c r="G23" s="75">
        <v>30147</v>
      </c>
      <c r="H23" s="72">
        <v>0</v>
      </c>
      <c r="I23" s="75">
        <v>321844</v>
      </c>
      <c r="J23" s="65">
        <f t="shared" si="0"/>
        <v>8.5855972401897365</v>
      </c>
      <c r="K23" s="65" t="str">
        <f t="shared" si="13"/>
        <v>n/a</v>
      </c>
      <c r="L23" s="61">
        <f t="shared" si="12"/>
        <v>-0.10212090329476398</v>
      </c>
      <c r="M23" s="69">
        <f>F23+'Jun-22'!M20</f>
        <v>1642042</v>
      </c>
      <c r="N23" s="69">
        <f>G23+'Jun-22'!N20</f>
        <v>35258</v>
      </c>
      <c r="O23" s="69">
        <f>H23+'Jun-22'!O20</f>
        <v>833999</v>
      </c>
      <c r="P23" s="69">
        <f>I23+'Jun-22'!P20</f>
        <v>2333598</v>
      </c>
      <c r="Q23" s="65">
        <f t="shared" si="14"/>
        <v>45.572182199784443</v>
      </c>
      <c r="R23" s="65">
        <f t="shared" si="15"/>
        <v>0.96887766052477287</v>
      </c>
      <c r="S23" s="61">
        <f t="shared" si="16"/>
        <v>-0.29634752858032964</v>
      </c>
      <c r="T23" s="69">
        <v>687449</v>
      </c>
      <c r="U23" s="71">
        <v>833999</v>
      </c>
      <c r="V23" s="79">
        <v>3859183</v>
      </c>
    </row>
    <row r="24" spans="1:38" ht="15">
      <c r="A24" s="10"/>
      <c r="B24" s="13"/>
      <c r="C24" s="32" t="s">
        <v>16</v>
      </c>
      <c r="D24" s="27"/>
      <c r="E24" s="33"/>
      <c r="F24" s="73"/>
      <c r="G24" s="73"/>
      <c r="H24" s="73"/>
      <c r="I24" s="73"/>
      <c r="J24" s="65"/>
      <c r="K24" s="65"/>
      <c r="L24" s="61"/>
      <c r="M24" s="88"/>
      <c r="N24" s="88"/>
      <c r="O24" s="88"/>
      <c r="P24" s="88"/>
      <c r="Q24" s="65"/>
      <c r="R24" s="65"/>
      <c r="S24" s="61"/>
      <c r="T24" s="44"/>
      <c r="U24" s="45"/>
      <c r="V24" s="80"/>
    </row>
    <row r="25" spans="1:38" ht="15">
      <c r="A25" s="10"/>
      <c r="B25" s="13"/>
      <c r="C25" s="34"/>
      <c r="D25" s="27" t="s">
        <v>5</v>
      </c>
      <c r="E25" s="33"/>
      <c r="F25" s="75">
        <v>33</v>
      </c>
      <c r="G25" s="75">
        <v>9</v>
      </c>
      <c r="H25" s="72">
        <v>0</v>
      </c>
      <c r="I25" s="75">
        <v>36</v>
      </c>
      <c r="J25" s="65">
        <f t="shared" si="0"/>
        <v>2.6666666666666665</v>
      </c>
      <c r="K25" s="65" t="str">
        <f t="shared" ref="K25:K26" si="17">IFERROR(F25/H25-1,"n/a")</f>
        <v>n/a</v>
      </c>
      <c r="L25" s="61">
        <f t="shared" si="12"/>
        <v>-8.333333333333337E-2</v>
      </c>
      <c r="M25" s="69">
        <f>F25+'Jun-22'!M22</f>
        <v>156</v>
      </c>
      <c r="N25" s="69">
        <f>G25+'Jun-22'!N22</f>
        <v>37</v>
      </c>
      <c r="O25" s="69">
        <f>H25+'Jun-22'!O22</f>
        <v>9</v>
      </c>
      <c r="P25" s="69">
        <f>I25+'Jun-22'!P22</f>
        <v>169</v>
      </c>
      <c r="Q25" s="65">
        <f t="shared" ref="Q25:Q26" si="18">IFERROR(M25/N25-1,"n/a")</f>
        <v>3.2162162162162158</v>
      </c>
      <c r="R25" s="65">
        <f t="shared" ref="R25:R26" si="19">IFERROR(M25/O25-1,"n/a")</f>
        <v>16.333333333333332</v>
      </c>
      <c r="S25" s="61">
        <f t="shared" ref="S25:S26" si="20">IFERROR(M25/P25-1,"n/a")</f>
        <v>-7.6923076923076872E-2</v>
      </c>
      <c r="T25" s="69">
        <v>107</v>
      </c>
      <c r="U25" s="71">
        <v>32</v>
      </c>
      <c r="V25" s="79">
        <v>372</v>
      </c>
    </row>
    <row r="26" spans="1:38" ht="15">
      <c r="A26" s="10"/>
      <c r="B26" s="13"/>
      <c r="C26" s="34"/>
      <c r="D26" s="27" t="s">
        <v>11</v>
      </c>
      <c r="E26" s="33"/>
      <c r="F26" s="75">
        <v>73604</v>
      </c>
      <c r="G26" s="75">
        <v>14049</v>
      </c>
      <c r="H26" s="72">
        <v>0</v>
      </c>
      <c r="I26" s="75">
        <v>102764</v>
      </c>
      <c r="J26" s="65">
        <f t="shared" si="0"/>
        <v>4.2390917503025127</v>
      </c>
      <c r="K26" s="65" t="str">
        <f t="shared" si="17"/>
        <v>n/a</v>
      </c>
      <c r="L26" s="61">
        <f t="shared" si="12"/>
        <v>-0.28375695768946319</v>
      </c>
      <c r="M26" s="69">
        <f>F26+'Jun-22'!M23</f>
        <v>250049</v>
      </c>
      <c r="N26" s="69">
        <f>G26+'Jun-22'!N23</f>
        <v>45450</v>
      </c>
      <c r="O26" s="69">
        <f>H26+'Jun-22'!O23</f>
        <v>40221</v>
      </c>
      <c r="P26" s="69">
        <f>I26+'Jun-22'!P23</f>
        <v>477135</v>
      </c>
      <c r="Q26" s="65">
        <f t="shared" si="18"/>
        <v>4.5016281628162815</v>
      </c>
      <c r="R26" s="65">
        <f t="shared" si="19"/>
        <v>5.216876755923523</v>
      </c>
      <c r="S26" s="61">
        <f t="shared" si="20"/>
        <v>-0.47593657979397863</v>
      </c>
      <c r="T26" s="69">
        <v>147132</v>
      </c>
      <c r="U26" s="71">
        <v>59180</v>
      </c>
      <c r="V26" s="79">
        <v>902015</v>
      </c>
    </row>
    <row r="27" spans="1:38" ht="15">
      <c r="A27" s="10"/>
      <c r="B27" s="13"/>
      <c r="C27" s="32" t="s">
        <v>17</v>
      </c>
      <c r="D27" s="27"/>
      <c r="E27" s="33"/>
      <c r="F27" s="73"/>
      <c r="G27" s="73"/>
      <c r="H27" s="73"/>
      <c r="I27" s="73"/>
      <c r="J27" s="65"/>
      <c r="K27" s="65"/>
      <c r="L27" s="61"/>
      <c r="M27" s="88"/>
      <c r="N27" s="88"/>
      <c r="O27" s="88"/>
      <c r="P27" s="88"/>
      <c r="Q27" s="65"/>
      <c r="R27" s="65"/>
      <c r="S27" s="61"/>
      <c r="T27" s="44"/>
      <c r="U27" s="45"/>
      <c r="V27" s="80"/>
    </row>
    <row r="28" spans="1:38" ht="15">
      <c r="B28" s="13"/>
      <c r="C28" s="34"/>
      <c r="D28" s="27" t="s">
        <v>5</v>
      </c>
      <c r="E28" s="33"/>
      <c r="F28" s="75">
        <v>65</v>
      </c>
      <c r="G28" s="75">
        <v>16</v>
      </c>
      <c r="H28" s="72">
        <v>1</v>
      </c>
      <c r="I28" s="75">
        <v>46</v>
      </c>
      <c r="J28" s="65">
        <f t="shared" si="0"/>
        <v>3.0625</v>
      </c>
      <c r="K28" s="65">
        <f t="shared" ref="K28:K31" si="21">IFERROR(F28/H28-1,"n/a")</f>
        <v>64</v>
      </c>
      <c r="L28" s="61">
        <f t="shared" si="12"/>
        <v>0.41304347826086962</v>
      </c>
      <c r="M28" s="69">
        <f>F28+'Jun-22'!M25</f>
        <v>274</v>
      </c>
      <c r="N28" s="69">
        <f>G28+'Jun-22'!N25</f>
        <v>40</v>
      </c>
      <c r="O28" s="69">
        <f>H28+'Jun-22'!O25</f>
        <v>2</v>
      </c>
      <c r="P28" s="69">
        <f>I28+'Jun-22'!P25</f>
        <v>172</v>
      </c>
      <c r="Q28" s="65">
        <f t="shared" ref="Q28:Q31" si="22">IFERROR(M28/N28-1,"n/a")</f>
        <v>5.85</v>
      </c>
      <c r="R28" s="65">
        <f t="shared" ref="R28:R31" si="23">IFERROR(M28/O28-1,"n/a")</f>
        <v>136</v>
      </c>
      <c r="S28" s="61">
        <f t="shared" ref="S28:S31" si="24">IFERROR(M28/P28-1,"n/a")</f>
        <v>0.59302325581395343</v>
      </c>
      <c r="T28" s="69">
        <v>124</v>
      </c>
      <c r="U28" s="71">
        <v>37</v>
      </c>
      <c r="V28" s="79">
        <f>282+81</f>
        <v>363</v>
      </c>
    </row>
    <row r="29" spans="1:38" ht="15">
      <c r="A29" s="10"/>
      <c r="B29" s="13"/>
      <c r="C29" s="34"/>
      <c r="D29" s="27" t="s">
        <v>11</v>
      </c>
      <c r="E29" s="33"/>
      <c r="F29" s="75">
        <f>112886+3567+22453</f>
        <v>138906</v>
      </c>
      <c r="G29" s="75">
        <v>23981</v>
      </c>
      <c r="H29" s="72">
        <v>6081</v>
      </c>
      <c r="I29" s="75">
        <f>99976+21772+10200</f>
        <v>131948</v>
      </c>
      <c r="J29" s="65">
        <f t="shared" si="0"/>
        <v>4.792335599015888</v>
      </c>
      <c r="K29" s="65">
        <f t="shared" si="21"/>
        <v>21.842624568327576</v>
      </c>
      <c r="L29" s="61">
        <f t="shared" si="12"/>
        <v>5.2732894776730266E-2</v>
      </c>
      <c r="M29" s="69">
        <f>F29+'Jun-22'!M26</f>
        <v>358319</v>
      </c>
      <c r="N29" s="69">
        <f>G29+'Jun-22'!N26</f>
        <v>56633</v>
      </c>
      <c r="O29" s="69">
        <f>H29+'Jun-22'!O26</f>
        <v>9186</v>
      </c>
      <c r="P29" s="69">
        <f>I29+'Jun-22'!P26</f>
        <v>443129</v>
      </c>
      <c r="Q29" s="65">
        <f t="shared" si="22"/>
        <v>5.3270354740169159</v>
      </c>
      <c r="R29" s="65">
        <f t="shared" si="23"/>
        <v>38.007075985194859</v>
      </c>
      <c r="S29" s="61">
        <f t="shared" si="24"/>
        <v>-0.19138896348467371</v>
      </c>
      <c r="T29" s="69">
        <v>165083</v>
      </c>
      <c r="U29" s="71">
        <f>20768+8294</f>
        <v>29062</v>
      </c>
      <c r="V29" s="79">
        <f>659951+168729+38484</f>
        <v>867164</v>
      </c>
    </row>
    <row r="30" spans="1:38" ht="15" customHeight="1" thickBot="1">
      <c r="A30" s="10"/>
      <c r="B30" s="13"/>
      <c r="C30" s="36" t="s">
        <v>12</v>
      </c>
      <c r="D30" s="37"/>
      <c r="E30" s="38"/>
      <c r="F30" s="76">
        <f t="shared" ref="F30:I31" si="25">F13+F16+F19+F22+F25+F28</f>
        <v>313</v>
      </c>
      <c r="G30" s="76">
        <f t="shared" si="25"/>
        <v>63</v>
      </c>
      <c r="H30" s="76">
        <f t="shared" si="25"/>
        <v>2</v>
      </c>
      <c r="I30" s="76">
        <f t="shared" si="25"/>
        <v>283</v>
      </c>
      <c r="J30" s="67">
        <f t="shared" si="0"/>
        <v>3.9682539682539684</v>
      </c>
      <c r="K30" s="67">
        <f t="shared" si="21"/>
        <v>155.5</v>
      </c>
      <c r="L30" s="63">
        <f t="shared" si="12"/>
        <v>0.10600706713780927</v>
      </c>
      <c r="M30" s="47">
        <f t="shared" ref="M30:P31" si="26">M13+M16+M19+M22+M25+M28</f>
        <v>1958</v>
      </c>
      <c r="N30" s="47">
        <f t="shared" si="26"/>
        <v>126</v>
      </c>
      <c r="O30" s="47">
        <f t="shared" si="26"/>
        <v>609</v>
      </c>
      <c r="P30" s="47">
        <f t="shared" si="26"/>
        <v>1805</v>
      </c>
      <c r="Q30" s="67">
        <f t="shared" si="22"/>
        <v>14.53968253968254</v>
      </c>
      <c r="R30" s="67">
        <f t="shared" si="23"/>
        <v>2.2151067323481115</v>
      </c>
      <c r="S30" s="63">
        <f t="shared" si="24"/>
        <v>8.476454293628799E-2</v>
      </c>
      <c r="T30" s="47">
        <f t="shared" ref="T30:V31" si="27">T13+T16+T19+T22+T25+T28</f>
        <v>1059</v>
      </c>
      <c r="U30" s="47">
        <f t="shared" si="27"/>
        <v>667</v>
      </c>
      <c r="V30" s="81">
        <f t="shared" si="27"/>
        <v>3344</v>
      </c>
    </row>
    <row r="31" spans="1:38" s="23" customFormat="1" ht="15" customHeight="1" thickTop="1" thickBot="1">
      <c r="A31" s="10"/>
      <c r="B31" s="13"/>
      <c r="C31" s="39" t="s">
        <v>13</v>
      </c>
      <c r="D31" s="40"/>
      <c r="E31" s="41"/>
      <c r="F31" s="77">
        <f t="shared" si="25"/>
        <v>857239</v>
      </c>
      <c r="G31" s="77">
        <f t="shared" si="25"/>
        <v>92497</v>
      </c>
      <c r="H31" s="77">
        <f t="shared" si="25"/>
        <v>6192</v>
      </c>
      <c r="I31" s="77">
        <f t="shared" si="25"/>
        <v>869024</v>
      </c>
      <c r="J31" s="68">
        <f t="shared" si="0"/>
        <v>8.2677492242991661</v>
      </c>
      <c r="K31" s="68">
        <f t="shared" si="21"/>
        <v>137.44299095607235</v>
      </c>
      <c r="L31" s="64">
        <f t="shared" si="12"/>
        <v>-1.3561190484957852E-2</v>
      </c>
      <c r="M31" s="48">
        <f t="shared" si="26"/>
        <v>3489374</v>
      </c>
      <c r="N31" s="48">
        <f t="shared" si="26"/>
        <v>166584</v>
      </c>
      <c r="O31" s="48">
        <f t="shared" si="26"/>
        <v>1284596</v>
      </c>
      <c r="P31" s="48">
        <f t="shared" si="26"/>
        <v>5144226</v>
      </c>
      <c r="Q31" s="68">
        <f t="shared" si="22"/>
        <v>19.946633530230994</v>
      </c>
      <c r="R31" s="68">
        <f t="shared" si="23"/>
        <v>1.7163201504597554</v>
      </c>
      <c r="S31" s="64">
        <f t="shared" si="24"/>
        <v>-0.32169115431553741</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5">
      <c r="A34" s="10"/>
      <c r="B34" s="11"/>
      <c r="C34" s="87" t="s">
        <v>63</v>
      </c>
      <c r="D34" s="25"/>
      <c r="E34" s="25"/>
      <c r="F34" s="25"/>
      <c r="G34" s="25"/>
      <c r="H34" s="25"/>
      <c r="I34" s="25"/>
      <c r="J34" s="25"/>
      <c r="K34" s="25"/>
      <c r="L34" s="25"/>
      <c r="M34" s="25"/>
      <c r="N34" s="25"/>
      <c r="O34" s="25"/>
      <c r="P34" s="25"/>
      <c r="Q34" s="25"/>
      <c r="R34" s="25"/>
      <c r="S34" s="25"/>
      <c r="T34" s="25"/>
      <c r="U34" s="25"/>
      <c r="V34" s="25"/>
    </row>
    <row r="35" spans="1:22" ht="15">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02" t="str">
        <f>F9</f>
        <v>July</v>
      </c>
      <c r="G36" s="102"/>
      <c r="H36" s="102"/>
      <c r="I36" s="102"/>
      <c r="J36" s="102"/>
      <c r="K36" s="102"/>
      <c r="L36" s="103"/>
      <c r="M36" s="104" t="s">
        <v>61</v>
      </c>
      <c r="N36" s="102"/>
      <c r="O36" s="102"/>
      <c r="P36" s="102"/>
      <c r="Q36" s="102"/>
      <c r="R36" s="102"/>
      <c r="S36" s="103"/>
      <c r="T36" s="104" t="s">
        <v>58</v>
      </c>
      <c r="U36" s="102"/>
      <c r="V36" s="105"/>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4.15"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1</v>
      </c>
      <c r="G40" s="75">
        <f t="shared" ref="G40:I40" si="28">G13</f>
        <v>6</v>
      </c>
      <c r="H40" s="72">
        <f t="shared" si="28"/>
        <v>0</v>
      </c>
      <c r="I40" s="72">
        <f t="shared" si="28"/>
        <v>6</v>
      </c>
      <c r="J40" s="65">
        <f t="shared" ref="J40:J41" si="29">IFERROR(F40/G40-1,"n/a")</f>
        <v>-0.83333333333333337</v>
      </c>
      <c r="K40" s="65" t="str">
        <f>IFERROR(F40/H40-1,"n/a")</f>
        <v>n/a</v>
      </c>
      <c r="L40" s="61">
        <f t="shared" ref="L40:L41" si="30">IFERROR(F40/I40-1,"n/a")</f>
        <v>-0.83333333333333337</v>
      </c>
      <c r="M40" s="71">
        <f>+M13-'Mar-22'!M10</f>
        <v>30</v>
      </c>
      <c r="N40" s="71">
        <f>+N13-'Mar-22'!N10</f>
        <v>6</v>
      </c>
      <c r="O40" s="83">
        <f>+O13-'Mar-22'!O10</f>
        <v>0</v>
      </c>
      <c r="P40" s="71">
        <f>+P13-'Mar-22'!P10</f>
        <v>46</v>
      </c>
      <c r="Q40" s="65">
        <f>IFERROR(M40/N40-1,"n/a")</f>
        <v>4</v>
      </c>
      <c r="R40" s="65" t="str">
        <f>IFERROR(M40/O40-1,"n/a")</f>
        <v>n/a</v>
      </c>
      <c r="S40" s="61">
        <f>IFERROR(M40/P40-1,"n/a")</f>
        <v>-0.34782608695652173</v>
      </c>
      <c r="T40" s="90">
        <v>308</v>
      </c>
      <c r="U40" s="71">
        <v>145</v>
      </c>
      <c r="V40" s="79">
        <v>331</v>
      </c>
    </row>
    <row r="41" spans="1:22" s="10" customFormat="1" ht="15" customHeight="1">
      <c r="C41" s="34"/>
      <c r="D41" s="27" t="s">
        <v>11</v>
      </c>
      <c r="E41" s="33"/>
      <c r="F41" s="75">
        <f t="shared" ref="F41:I41" si="31">F14</f>
        <v>3145</v>
      </c>
      <c r="G41" s="75">
        <f t="shared" si="31"/>
        <v>767</v>
      </c>
      <c r="H41" s="72">
        <f t="shared" si="31"/>
        <v>0</v>
      </c>
      <c r="I41" s="75">
        <f t="shared" si="31"/>
        <v>10620</v>
      </c>
      <c r="J41" s="65">
        <f t="shared" si="29"/>
        <v>3.1003911342894392</v>
      </c>
      <c r="K41" s="65" t="str">
        <f t="shared" ref="K41" si="32">IFERROR(F41/H41-1,"n/a")</f>
        <v>n/a</v>
      </c>
      <c r="L41" s="61">
        <f t="shared" si="30"/>
        <v>-0.70386064030131834</v>
      </c>
      <c r="M41" s="83">
        <f>+M14-'Mar-22'!M11</f>
        <v>37841</v>
      </c>
      <c r="N41" s="83">
        <f>+N14-'Mar-22'!N11</f>
        <v>767</v>
      </c>
      <c r="O41" s="83">
        <f>+O14-'Mar-22'!O11</f>
        <v>0</v>
      </c>
      <c r="P41" s="83">
        <f>+P14-'Mar-22'!P11</f>
        <v>86144</v>
      </c>
      <c r="Q41" s="65">
        <f>IFERROR(M41/N41-1,"n/a")</f>
        <v>48.336375488917859</v>
      </c>
      <c r="R41" s="65" t="str">
        <f>IFERROR(M41/O41-1,"n/a")</f>
        <v>n/a</v>
      </c>
      <c r="S41" s="61">
        <f>IFERROR(M41/P41-1,"n/a")</f>
        <v>-0.56072390416047546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3" si="33">F16</f>
        <v>71</v>
      </c>
      <c r="G43" s="75">
        <f t="shared" si="33"/>
        <v>10</v>
      </c>
      <c r="H43" s="72">
        <f t="shared" si="33"/>
        <v>0</v>
      </c>
      <c r="I43" s="75">
        <f t="shared" si="33"/>
        <v>68</v>
      </c>
      <c r="J43" s="65">
        <f t="shared" ref="J43:J44" si="34">IFERROR(F43/G43-1,"n/a")</f>
        <v>6.1</v>
      </c>
      <c r="K43" s="65" t="str">
        <f t="shared" ref="K43:K44" si="35">IFERROR(F43/H43-1,"n/a")</f>
        <v>n/a</v>
      </c>
      <c r="L43" s="61">
        <f t="shared" ref="L43:L44" si="36">IFERROR(F43/I43-1,"n/a")</f>
        <v>4.4117647058823595E-2</v>
      </c>
      <c r="M43" s="71">
        <f>+M16-'Mar-22'!M13</f>
        <v>338</v>
      </c>
      <c r="N43" s="71">
        <f>+N16-'Mar-22'!N13</f>
        <v>14</v>
      </c>
      <c r="O43" s="83">
        <f>+O16-'Mar-22'!O13</f>
        <v>0</v>
      </c>
      <c r="P43" s="71">
        <f>+P16-'Mar-22'!P13</f>
        <v>341</v>
      </c>
      <c r="Q43" s="65">
        <f>IFERROR(M43/N43-1,"n/a")</f>
        <v>23.142857142857142</v>
      </c>
      <c r="R43" s="65" t="str">
        <f>IFERROR(M43/O43-1,"n/a")</f>
        <v>n/a</v>
      </c>
      <c r="S43" s="61">
        <f t="shared" ref="S43:S44" si="37">IFERROR(M43/P43-1,"n/a")</f>
        <v>-8.7976539589442737E-3</v>
      </c>
      <c r="T43" s="90">
        <v>336</v>
      </c>
      <c r="U43" s="71">
        <v>43</v>
      </c>
      <c r="V43" s="79">
        <v>781</v>
      </c>
    </row>
    <row r="44" spans="1:22" s="10" customFormat="1" ht="15" customHeight="1">
      <c r="C44" s="34"/>
      <c r="D44" s="27" t="s">
        <v>11</v>
      </c>
      <c r="E44" s="33"/>
      <c r="F44" s="75">
        <f t="shared" ref="F44:I44" si="38">F17</f>
        <v>271417</v>
      </c>
      <c r="G44" s="75">
        <f t="shared" si="38"/>
        <v>23553</v>
      </c>
      <c r="H44" s="72">
        <f t="shared" si="38"/>
        <v>0</v>
      </c>
      <c r="I44" s="75">
        <f t="shared" si="38"/>
        <v>261197</v>
      </c>
      <c r="J44" s="65">
        <f t="shared" si="34"/>
        <v>10.523670020804143</v>
      </c>
      <c r="K44" s="65" t="str">
        <f t="shared" si="35"/>
        <v>n/a</v>
      </c>
      <c r="L44" s="61">
        <f t="shared" si="36"/>
        <v>3.9127555063802388E-2</v>
      </c>
      <c r="M44" s="83">
        <f>+M17-'Mar-22'!M14</f>
        <v>736663</v>
      </c>
      <c r="N44" s="83">
        <f>+N17-'Mar-22'!N14</f>
        <v>28476</v>
      </c>
      <c r="O44" s="83">
        <f>+O17-'Mar-22'!O14</f>
        <v>0</v>
      </c>
      <c r="P44" s="83">
        <f>+P17-'Mar-22'!P14</f>
        <v>1049749</v>
      </c>
      <c r="Q44" s="65">
        <f>IFERROR(M44/N44-1,"n/a")</f>
        <v>24.869609495715689</v>
      </c>
      <c r="R44" s="65" t="str">
        <f>IFERROR(M44/O44-1,"n/a")</f>
        <v>n/a</v>
      </c>
      <c r="S44" s="61">
        <f t="shared" si="37"/>
        <v>-0.29824843843623572</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6" si="39">F19</f>
        <v>60</v>
      </c>
      <c r="G46" s="72">
        <f t="shared" si="39"/>
        <v>0</v>
      </c>
      <c r="H46" s="72">
        <f t="shared" si="39"/>
        <v>1</v>
      </c>
      <c r="I46" s="75">
        <f t="shared" si="39"/>
        <v>32</v>
      </c>
      <c r="J46" s="65" t="str">
        <f t="shared" ref="J46:J47" si="40">IFERROR(F46/G46-1,"n/a")</f>
        <v>n/a</v>
      </c>
      <c r="K46" s="65">
        <f t="shared" ref="K46:K47" si="41">IFERROR(F46/H46-1,"n/a")</f>
        <v>59</v>
      </c>
      <c r="L46" s="61">
        <f>IFERROR(F46/I46-1,"n/a")</f>
        <v>0.875</v>
      </c>
      <c r="M46" s="71">
        <f>+M19-'Mar-22'!M16</f>
        <v>217</v>
      </c>
      <c r="N46" s="83">
        <f>+N19-'Mar-22'!N16</f>
        <v>0</v>
      </c>
      <c r="O46" s="83">
        <f>+O19-'Mar-22'!O16</f>
        <v>1</v>
      </c>
      <c r="P46" s="83">
        <f>+P19-'Mar-22'!P16</f>
        <v>95</v>
      </c>
      <c r="Q46" s="65" t="str">
        <f>IFERROR(M46/N46-1,"n/a")</f>
        <v>n/a</v>
      </c>
      <c r="R46" s="65">
        <f>IFERROR(M46/O46-1,"n/a")</f>
        <v>216</v>
      </c>
      <c r="S46" s="61">
        <f t="shared" ref="S46:S47" si="42">IFERROR(M46/P46-1,"n/a")</f>
        <v>1.2842105263157895</v>
      </c>
      <c r="T46" s="90">
        <v>33</v>
      </c>
      <c r="U46" s="71">
        <v>4</v>
      </c>
      <c r="V46" s="79">
        <v>188</v>
      </c>
    </row>
    <row r="47" spans="1:22" s="10" customFormat="1" ht="15" customHeight="1">
      <c r="C47" s="34"/>
      <c r="D47" s="27" t="s">
        <v>11</v>
      </c>
      <c r="E47" s="33"/>
      <c r="F47" s="75">
        <f t="shared" ref="F47:I47" si="43">F20</f>
        <v>81190</v>
      </c>
      <c r="G47" s="72">
        <f t="shared" si="43"/>
        <v>0</v>
      </c>
      <c r="H47" s="72">
        <f t="shared" si="43"/>
        <v>111</v>
      </c>
      <c r="I47" s="75">
        <f t="shared" si="43"/>
        <v>40651</v>
      </c>
      <c r="J47" s="65" t="str">
        <f t="shared" si="40"/>
        <v>n/a</v>
      </c>
      <c r="K47" s="65">
        <f t="shared" si="41"/>
        <v>730.4414414414415</v>
      </c>
      <c r="L47" s="61">
        <f t="shared" ref="L47" si="44">IFERROR(F47/I47-1,"n/a")</f>
        <v>0.99724484022533266</v>
      </c>
      <c r="M47" s="83">
        <f>+M20-'Mar-22'!M17</f>
        <v>238206</v>
      </c>
      <c r="N47" s="83">
        <f>+N20-'Mar-22'!N17</f>
        <v>0</v>
      </c>
      <c r="O47" s="83">
        <f>+O20-'Mar-22'!O17</f>
        <v>111</v>
      </c>
      <c r="P47" s="83">
        <f>+P20-'Mar-22'!P17</f>
        <v>112053</v>
      </c>
      <c r="Q47" s="65" t="str">
        <f>IFERROR(M47/N47-1,"n/a")</f>
        <v>n/a</v>
      </c>
      <c r="R47" s="65">
        <f>IFERROR(M47/O47-1,"n/a")</f>
        <v>2145</v>
      </c>
      <c r="S47" s="61">
        <f t="shared" si="42"/>
        <v>1.1258333110224625</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49" si="45">F22</f>
        <v>83</v>
      </c>
      <c r="G49" s="75">
        <f t="shared" si="45"/>
        <v>22</v>
      </c>
      <c r="H49" s="72">
        <f t="shared" si="45"/>
        <v>0</v>
      </c>
      <c r="I49" s="75">
        <f t="shared" si="45"/>
        <v>95</v>
      </c>
      <c r="J49" s="65">
        <f t="shared" ref="J49:J50" si="46">IFERROR(F49/G49-1,"n/a")</f>
        <v>2.7727272727272729</v>
      </c>
      <c r="K49" s="65" t="str">
        <f t="shared" ref="K49:K50" si="47">IFERROR(F49/H49-1,"n/a")</f>
        <v>n/a</v>
      </c>
      <c r="L49" s="61">
        <f t="shared" ref="L49:L50" si="48">IFERROR(F49/I49-1,"n/a")</f>
        <v>-0.12631578947368416</v>
      </c>
      <c r="M49" s="71">
        <f>+M22-'Mar-22'!M19</f>
        <v>350</v>
      </c>
      <c r="N49" s="71">
        <f>+N22-'Mar-22'!N19</f>
        <v>29</v>
      </c>
      <c r="O49" s="71">
        <f>+O22-'Mar-22'!O19</f>
        <v>42</v>
      </c>
      <c r="P49" s="71">
        <f>+P22-'Mar-22'!P19</f>
        <v>371</v>
      </c>
      <c r="Q49" s="65">
        <f>IFERROR(M49/N49-1,"n/a")</f>
        <v>11.068965517241379</v>
      </c>
      <c r="R49" s="65">
        <f>IFERROR(M49/O49-1,"n/a")</f>
        <v>7.3333333333333339</v>
      </c>
      <c r="S49" s="61">
        <f>IFERROR(M49/P49-1,"n/a")</f>
        <v>-5.6603773584905648E-2</v>
      </c>
      <c r="T49" s="90">
        <v>744</v>
      </c>
      <c r="U49" s="85">
        <v>406</v>
      </c>
      <c r="V49" s="79">
        <v>1253</v>
      </c>
    </row>
    <row r="50" spans="3:22" s="10" customFormat="1" ht="15" customHeight="1">
      <c r="C50" s="34"/>
      <c r="D50" s="27" t="s">
        <v>11</v>
      </c>
      <c r="E50" s="33"/>
      <c r="F50" s="74">
        <f t="shared" ref="F50:I50" si="49">F23</f>
        <v>288977</v>
      </c>
      <c r="G50" s="75">
        <f t="shared" si="49"/>
        <v>30147</v>
      </c>
      <c r="H50" s="72">
        <f t="shared" si="49"/>
        <v>0</v>
      </c>
      <c r="I50" s="75">
        <f t="shared" si="49"/>
        <v>321844</v>
      </c>
      <c r="J50" s="65">
        <f t="shared" si="46"/>
        <v>8.5855972401897365</v>
      </c>
      <c r="K50" s="65" t="str">
        <f t="shared" si="47"/>
        <v>n/a</v>
      </c>
      <c r="L50" s="61">
        <f t="shared" si="48"/>
        <v>-0.10212090329476398</v>
      </c>
      <c r="M50" s="83">
        <f>+M23-'Mar-22'!M20</f>
        <v>1038712</v>
      </c>
      <c r="N50" s="83">
        <f>+N23-'Mar-22'!N20</f>
        <v>35258</v>
      </c>
      <c r="O50" s="83">
        <f>+O23-'Mar-22'!O20</f>
        <v>0</v>
      </c>
      <c r="P50" s="83">
        <f>+P23-'Mar-22'!P20</f>
        <v>1267874</v>
      </c>
      <c r="Q50" s="65">
        <f>IFERROR(M50/N50-1,"n/a")</f>
        <v>28.460321061886663</v>
      </c>
      <c r="R50" s="65" t="str">
        <f>IFERROR(M50/O50-1,"n/a")</f>
        <v>n/a</v>
      </c>
      <c r="S50" s="61">
        <f t="shared" ref="S50" si="50">IFERROR(M50/P50-1,"n/a")</f>
        <v>-0.18074508981176363</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2" si="51">F25</f>
        <v>33</v>
      </c>
      <c r="G52" s="75">
        <f t="shared" si="51"/>
        <v>9</v>
      </c>
      <c r="H52" s="72">
        <f t="shared" si="51"/>
        <v>0</v>
      </c>
      <c r="I52" s="75">
        <f t="shared" si="51"/>
        <v>36</v>
      </c>
      <c r="J52" s="65">
        <f t="shared" ref="J52:J53" si="52">IFERROR(F52/G52-1,"n/a")</f>
        <v>2.6666666666666665</v>
      </c>
      <c r="K52" s="65" t="str">
        <f t="shared" ref="K52:K53" si="53">IFERROR(F52/H52-1,"n/a")</f>
        <v>n/a</v>
      </c>
      <c r="L52" s="61">
        <f t="shared" ref="L52:L53" si="54">IFERROR(F52/I52-1,"n/a")</f>
        <v>-8.333333333333337E-2</v>
      </c>
      <c r="M52" s="71">
        <f>+M25-'Mar-22'!M22</f>
        <v>133</v>
      </c>
      <c r="N52" s="71">
        <f>+N25-'Mar-22'!N22</f>
        <v>28</v>
      </c>
      <c r="O52" s="83">
        <f>+O25-'Mar-22'!O22</f>
        <v>0</v>
      </c>
      <c r="P52" s="71">
        <f>+P25-'Mar-22'!P22</f>
        <v>149</v>
      </c>
      <c r="Q52" s="65">
        <f>IFERROR(M52/N52-1,"n/a")</f>
        <v>3.75</v>
      </c>
      <c r="R52" s="65" t="str">
        <f>IFERROR(M52/O52-1,"n/a")</f>
        <v>n/a</v>
      </c>
      <c r="S52" s="61">
        <f t="shared" ref="S52:S53" si="55">IFERROR(M52/P52-1,"n/a")</f>
        <v>-0.10738255033557043</v>
      </c>
      <c r="T52" s="90">
        <v>121</v>
      </c>
      <c r="U52" s="71">
        <v>41</v>
      </c>
      <c r="V52" s="79">
        <v>361</v>
      </c>
    </row>
    <row r="53" spans="3:22" s="10" customFormat="1" ht="15" customHeight="1">
      <c r="C53" s="34"/>
      <c r="D53" s="27" t="s">
        <v>11</v>
      </c>
      <c r="E53" s="33"/>
      <c r="F53" s="75">
        <f t="shared" ref="F53:I53" si="56">F26</f>
        <v>73604</v>
      </c>
      <c r="G53" s="75">
        <f t="shared" si="56"/>
        <v>14049</v>
      </c>
      <c r="H53" s="72">
        <f t="shared" si="56"/>
        <v>0</v>
      </c>
      <c r="I53" s="75">
        <f t="shared" si="56"/>
        <v>102764</v>
      </c>
      <c r="J53" s="65">
        <f t="shared" si="52"/>
        <v>4.2390917503025127</v>
      </c>
      <c r="K53" s="65" t="str">
        <f t="shared" si="53"/>
        <v>n/a</v>
      </c>
      <c r="L53" s="61">
        <f t="shared" si="54"/>
        <v>-0.28375695768946319</v>
      </c>
      <c r="M53" s="83">
        <f>+M26-'Mar-22'!M23</f>
        <v>223528</v>
      </c>
      <c r="N53" s="83">
        <f>+N26-'Mar-22'!N23</f>
        <v>37486</v>
      </c>
      <c r="O53" s="83">
        <f>+O26-'Mar-22'!O23</f>
        <v>0</v>
      </c>
      <c r="P53" s="83">
        <f>+P26-'Mar-22'!P23</f>
        <v>400860</v>
      </c>
      <c r="Q53" s="65">
        <f>IFERROR(M53/N53-1,"n/a")</f>
        <v>4.9629728431947928</v>
      </c>
      <c r="R53" s="65" t="str">
        <f>IFERROR(M53/O53-1,"n/a")</f>
        <v>n/a</v>
      </c>
      <c r="S53" s="61">
        <f t="shared" si="55"/>
        <v>-0.44237888539639769</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 customHeight="1">
      <c r="C55" s="34"/>
      <c r="D55" s="27" t="s">
        <v>5</v>
      </c>
      <c r="E55" s="33"/>
      <c r="F55" s="75">
        <f t="shared" ref="F55:I55" si="57">F28</f>
        <v>65</v>
      </c>
      <c r="G55" s="75">
        <f t="shared" si="57"/>
        <v>16</v>
      </c>
      <c r="H55" s="72">
        <f t="shared" si="57"/>
        <v>1</v>
      </c>
      <c r="I55" s="75">
        <f t="shared" si="57"/>
        <v>46</v>
      </c>
      <c r="J55" s="65">
        <f t="shared" ref="J55:J58" si="58">IFERROR(F55/G55-1,"n/a")</f>
        <v>3.0625</v>
      </c>
      <c r="K55" s="65">
        <f t="shared" ref="K55:K58" si="59">IFERROR(F55/H55-1,"n/a")</f>
        <v>64</v>
      </c>
      <c r="L55" s="61">
        <f t="shared" ref="L55:L58" si="60">IFERROR(F55/I55-1,"n/a")</f>
        <v>0.41304347826086962</v>
      </c>
      <c r="M55" s="71">
        <f>+M28-'Mar-22'!M25</f>
        <v>258</v>
      </c>
      <c r="N55" s="71">
        <f>+N28-'Mar-22'!N25</f>
        <v>37</v>
      </c>
      <c r="O55" s="71">
        <f>+O28-'Mar-22'!O25</f>
        <v>1</v>
      </c>
      <c r="P55" s="71">
        <f>+P28-'Mar-22'!P25</f>
        <v>168</v>
      </c>
      <c r="Q55" s="65">
        <f>IFERROR(M55/N55-1,"n/a")</f>
        <v>5.9729729729729728</v>
      </c>
      <c r="R55" s="65">
        <f>IFERROR(M55/O55-1,"n/a")</f>
        <v>257</v>
      </c>
      <c r="S55" s="61">
        <f t="shared" ref="S55:S58" si="61">IFERROR(M55/P55-1,"n/a")</f>
        <v>0.53571428571428581</v>
      </c>
      <c r="T55" s="90">
        <v>140</v>
      </c>
      <c r="U55" s="71">
        <v>40</v>
      </c>
      <c r="V55" s="79">
        <v>360</v>
      </c>
    </row>
    <row r="56" spans="3:22" ht="15.4" customHeight="1">
      <c r="C56" s="34"/>
      <c r="D56" s="27" t="s">
        <v>11</v>
      </c>
      <c r="E56" s="33"/>
      <c r="F56" s="75">
        <f t="shared" ref="F56:I56" si="62">F29</f>
        <v>138906</v>
      </c>
      <c r="G56" s="75">
        <f t="shared" si="62"/>
        <v>23981</v>
      </c>
      <c r="H56" s="72">
        <f t="shared" si="62"/>
        <v>6081</v>
      </c>
      <c r="I56" s="75">
        <f t="shared" si="62"/>
        <v>131948</v>
      </c>
      <c r="J56" s="65">
        <f t="shared" si="58"/>
        <v>4.792335599015888</v>
      </c>
      <c r="K56" s="65">
        <f t="shared" si="59"/>
        <v>21.842624568327576</v>
      </c>
      <c r="L56" s="61">
        <f t="shared" si="60"/>
        <v>5.2732894776730266E-2</v>
      </c>
      <c r="M56" s="83">
        <f>+M29-'Mar-22'!M26</f>
        <v>346719</v>
      </c>
      <c r="N56" s="83">
        <f>+N29-'Mar-22'!N26</f>
        <v>54494</v>
      </c>
      <c r="O56" s="83">
        <f>+O29-'Mar-22'!O26</f>
        <v>8294</v>
      </c>
      <c r="P56" s="83">
        <f>+P29-'Mar-22'!P26</f>
        <v>437020</v>
      </c>
      <c r="Q56" s="65">
        <f>IFERROR(M56/N56-1,"n/a")</f>
        <v>5.3625169743457999</v>
      </c>
      <c r="R56" s="65">
        <f>IFERROR(M56/O56-1,"n/a")</f>
        <v>40.803592958765371</v>
      </c>
      <c r="S56" s="61">
        <f t="shared" si="61"/>
        <v>-0.20662898723170564</v>
      </c>
      <c r="T56" s="83">
        <v>174336</v>
      </c>
      <c r="U56" s="85">
        <v>21928</v>
      </c>
      <c r="V56" s="79">
        <f>706948+155011</f>
        <v>861959</v>
      </c>
    </row>
    <row r="57" spans="3:22" ht="26.65" customHeight="1" thickBot="1">
      <c r="C57" s="36" t="s">
        <v>12</v>
      </c>
      <c r="D57" s="37"/>
      <c r="E57" s="38"/>
      <c r="F57" s="76">
        <f t="shared" ref="F57:I57" si="63">F40+F43+F46+F49+F52+F55</f>
        <v>313</v>
      </c>
      <c r="G57" s="76">
        <f t="shared" si="63"/>
        <v>63</v>
      </c>
      <c r="H57" s="76">
        <f t="shared" si="63"/>
        <v>2</v>
      </c>
      <c r="I57" s="76">
        <f t="shared" si="63"/>
        <v>283</v>
      </c>
      <c r="J57" s="67">
        <f t="shared" si="58"/>
        <v>3.9682539682539684</v>
      </c>
      <c r="K57" s="67">
        <f t="shared" si="59"/>
        <v>155.5</v>
      </c>
      <c r="L57" s="63">
        <f t="shared" si="60"/>
        <v>0.10600706713780927</v>
      </c>
      <c r="M57" s="47">
        <f t="shared" ref="M57:O57" si="64">M40+M43+M46+M49+M52+M55</f>
        <v>1326</v>
      </c>
      <c r="N57" s="47">
        <f t="shared" si="64"/>
        <v>114</v>
      </c>
      <c r="O57" s="47">
        <f t="shared" si="64"/>
        <v>44</v>
      </c>
      <c r="P57" s="47">
        <f t="shared" ref="P57" si="65">P40+P43+P46+P49+P52+P55</f>
        <v>1170</v>
      </c>
      <c r="Q57" s="67">
        <f>IFERROR(M57/N57-1,"n/a")</f>
        <v>10.631578947368421</v>
      </c>
      <c r="R57" s="67">
        <f>IFERROR(M57/O57-1,"n/a")</f>
        <v>29.136363636363637</v>
      </c>
      <c r="S57" s="63">
        <f t="shared" si="61"/>
        <v>0.1333333333333333</v>
      </c>
      <c r="T57" s="47">
        <f t="shared" ref="T57:V57" si="66">T40+T43+T46+T49+T52+T55</f>
        <v>1682</v>
      </c>
      <c r="U57" s="47">
        <f t="shared" si="66"/>
        <v>679</v>
      </c>
      <c r="V57" s="81">
        <f t="shared" si="66"/>
        <v>3274</v>
      </c>
    </row>
    <row r="58" spans="3:22" ht="26.65" customHeight="1" thickTop="1" thickBot="1">
      <c r="C58" s="39" t="s">
        <v>13</v>
      </c>
      <c r="D58" s="40"/>
      <c r="E58" s="41"/>
      <c r="F58" s="77">
        <f t="shared" ref="F58:I58" si="67">F41+F44+F47+F50+F53+F56</f>
        <v>857239</v>
      </c>
      <c r="G58" s="77">
        <f t="shared" si="67"/>
        <v>92497</v>
      </c>
      <c r="H58" s="77">
        <f t="shared" si="67"/>
        <v>6192</v>
      </c>
      <c r="I58" s="77">
        <f t="shared" si="67"/>
        <v>869024</v>
      </c>
      <c r="J58" s="68">
        <f t="shared" si="58"/>
        <v>8.2677492242991661</v>
      </c>
      <c r="K58" s="68">
        <f t="shared" si="59"/>
        <v>137.44299095607235</v>
      </c>
      <c r="L58" s="64">
        <f t="shared" si="60"/>
        <v>-1.3561190484957852E-2</v>
      </c>
      <c r="M58" s="48">
        <f t="shared" ref="M58:O58" si="68">M41+M44+M47+M50+M53+M56</f>
        <v>2621669</v>
      </c>
      <c r="N58" s="48">
        <f t="shared" si="68"/>
        <v>156481</v>
      </c>
      <c r="O58" s="48">
        <f t="shared" si="68"/>
        <v>8405</v>
      </c>
      <c r="P58" s="48">
        <f t="shared" ref="P58" si="69">P41+P44+P47+P50+P53+P56</f>
        <v>3353700</v>
      </c>
      <c r="Q58" s="68">
        <f>IFERROR(M58/N58-1,"n/a")</f>
        <v>15.753912615589112</v>
      </c>
      <c r="R58" s="68">
        <f>IFERROR(M58/O58-1,"n/a")</f>
        <v>310.91778703152886</v>
      </c>
      <c r="S58" s="64">
        <f t="shared" si="61"/>
        <v>-0.21827563586486565</v>
      </c>
      <c r="T58" s="48">
        <f t="shared" ref="T58:V58" si="70">T41+T44+T47+T50+T53+T56</f>
        <v>2411641</v>
      </c>
      <c r="U58" s="48">
        <f t="shared" si="70"/>
        <v>1324261</v>
      </c>
      <c r="V58" s="82">
        <f t="shared" si="70"/>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85" zoomScaleNormal="85" workbookViewId="0"/>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50</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s="21" customFormat="1" ht="15">
      <c r="A6" s="10"/>
      <c r="B6"/>
      <c r="C6" s="28" t="s">
        <v>7</v>
      </c>
      <c r="D6" s="29"/>
      <c r="E6" s="29"/>
      <c r="F6" s="102" t="s">
        <v>51</v>
      </c>
      <c r="G6" s="102"/>
      <c r="H6" s="102"/>
      <c r="I6" s="102"/>
      <c r="J6" s="102"/>
      <c r="K6" s="102"/>
      <c r="L6" s="103"/>
      <c r="M6" s="104" t="s">
        <v>52</v>
      </c>
      <c r="N6" s="102"/>
      <c r="O6" s="102"/>
      <c r="P6" s="102"/>
      <c r="Q6" s="102"/>
      <c r="R6" s="102"/>
      <c r="S6" s="103"/>
      <c r="T6" s="104" t="s">
        <v>9</v>
      </c>
      <c r="U6" s="102"/>
      <c r="V6" s="102"/>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5">
      <c r="A9" s="10"/>
      <c r="B9" s="13"/>
      <c r="C9" s="32" t="s">
        <v>14</v>
      </c>
      <c r="D9" s="27"/>
      <c r="E9" s="33"/>
      <c r="F9" s="27"/>
      <c r="G9" s="27"/>
      <c r="H9" s="27"/>
      <c r="I9" s="27"/>
      <c r="J9" s="27"/>
      <c r="K9" s="27"/>
      <c r="L9" s="33"/>
      <c r="M9" s="27"/>
      <c r="N9" s="27"/>
      <c r="O9" s="27"/>
      <c r="P9" s="27"/>
      <c r="Q9" s="27"/>
      <c r="R9" s="27"/>
      <c r="S9" s="33"/>
      <c r="T9" s="27"/>
      <c r="U9" s="27"/>
      <c r="V9" s="27"/>
    </row>
    <row r="10" spans="1:38" ht="15">
      <c r="A10" s="10"/>
      <c r="B10" s="13"/>
      <c r="C10" s="34"/>
      <c r="D10" s="27" t="s">
        <v>5</v>
      </c>
      <c r="E10" s="33"/>
      <c r="F10" s="72">
        <v>1</v>
      </c>
      <c r="G10" s="72">
        <v>0</v>
      </c>
      <c r="H10" s="72">
        <v>0</v>
      </c>
      <c r="I10" s="72">
        <v>5</v>
      </c>
      <c r="J10" s="65" t="str">
        <f t="shared" ref="J10:J28" si="0">IFERROR(F10/G10-1,"n/a")</f>
        <v>n/a</v>
      </c>
      <c r="K10" s="65" t="str">
        <f>IFERROR(F10/H10-1,"n/a")</f>
        <v>n/a</v>
      </c>
      <c r="L10" s="61">
        <f t="shared" ref="L10:L11" si="1">IFERROR(F10/I10-1,"n/a")</f>
        <v>-0.8</v>
      </c>
      <c r="M10" s="69">
        <f>F10+'May-22'!M10</f>
        <v>226</v>
      </c>
      <c r="N10" s="69">
        <f>G10+'May-22'!N10</f>
        <v>0</v>
      </c>
      <c r="O10" s="69">
        <f>H10+'May-22'!O10</f>
        <v>145</v>
      </c>
      <c r="P10" s="69">
        <f>I10+'May-22'!P10</f>
        <v>240</v>
      </c>
      <c r="Q10" s="65" t="str">
        <f>IFERROR(M10/N10-1,"n/a")</f>
        <v>n/a</v>
      </c>
      <c r="R10" s="65">
        <f>IFERROR(M10/O10-1,"n/a")</f>
        <v>0.55862068965517242</v>
      </c>
      <c r="S10" s="61">
        <f>IFERROR(M10/P10-1,"n/a")</f>
        <v>-5.8333333333333348E-2</v>
      </c>
      <c r="T10" s="69">
        <v>111</v>
      </c>
      <c r="U10" s="71">
        <v>145</v>
      </c>
      <c r="V10" s="71">
        <v>386</v>
      </c>
    </row>
    <row r="11" spans="1:38" ht="15">
      <c r="A11" s="10"/>
      <c r="B11" s="13"/>
      <c r="C11" s="34"/>
      <c r="D11" s="27" t="s">
        <v>11</v>
      </c>
      <c r="E11" s="33"/>
      <c r="F11" s="72">
        <v>0</v>
      </c>
      <c r="G11" s="72">
        <v>0</v>
      </c>
      <c r="H11" s="72">
        <v>0</v>
      </c>
      <c r="I11" s="72">
        <v>13509</v>
      </c>
      <c r="J11" s="65" t="str">
        <f t="shared" si="0"/>
        <v>n/a</v>
      </c>
      <c r="K11" s="65" t="str">
        <f t="shared" ref="K11" si="2">IFERROR(F11/H11-1,"n/a")</f>
        <v>n/a</v>
      </c>
      <c r="L11" s="61">
        <f t="shared" si="1"/>
        <v>-1</v>
      </c>
      <c r="M11" s="69">
        <f>F11+'May-22'!M11</f>
        <v>191024</v>
      </c>
      <c r="N11" s="69">
        <f>G11+'May-22'!N11</f>
        <v>0</v>
      </c>
      <c r="O11" s="69">
        <f>H11+'May-22'!O11</f>
        <v>258885</v>
      </c>
      <c r="P11" s="69">
        <f>I11+'May-22'!P11</f>
        <v>460904</v>
      </c>
      <c r="Q11" s="65" t="str">
        <f>IFERROR(M11/N11-1,"n/a")</f>
        <v>n/a</v>
      </c>
      <c r="R11" s="65">
        <f>IFERROR(M11/O11-1,"n/a")</f>
        <v>-0.26212797187940595</v>
      </c>
      <c r="S11" s="61">
        <f>IFERROR(M11/P11-1,"n/a")</f>
        <v>-0.58554492909586375</v>
      </c>
      <c r="T11" s="69">
        <v>80863</v>
      </c>
      <c r="U11" s="71">
        <v>258885</v>
      </c>
      <c r="V11" s="71">
        <v>733296</v>
      </c>
    </row>
    <row r="12" spans="1:38" ht="15">
      <c r="A12" s="10"/>
      <c r="B12" s="13"/>
      <c r="C12" s="32" t="s">
        <v>74</v>
      </c>
      <c r="D12" s="27"/>
      <c r="E12" s="33"/>
      <c r="F12" s="27"/>
      <c r="G12" s="27"/>
      <c r="H12" s="27"/>
      <c r="I12" s="27"/>
      <c r="J12" s="65"/>
      <c r="K12" s="65"/>
      <c r="L12" s="62"/>
      <c r="M12" s="44"/>
      <c r="N12" s="44"/>
      <c r="O12" s="44"/>
      <c r="P12" s="44"/>
      <c r="Q12" s="65"/>
      <c r="R12" s="66"/>
      <c r="S12" s="62"/>
      <c r="T12" s="44"/>
      <c r="U12" s="45"/>
      <c r="V12" s="45"/>
    </row>
    <row r="13" spans="1:38" ht="15">
      <c r="A13" s="10"/>
      <c r="B13" s="13"/>
      <c r="C13" s="34"/>
      <c r="D13" s="27" t="s">
        <v>5</v>
      </c>
      <c r="E13" s="33"/>
      <c r="F13" s="72">
        <v>68</v>
      </c>
      <c r="G13" s="75">
        <v>4</v>
      </c>
      <c r="H13" s="72">
        <v>0</v>
      </c>
      <c r="I13" s="72">
        <v>70</v>
      </c>
      <c r="J13" s="65">
        <f t="shared" si="0"/>
        <v>16</v>
      </c>
      <c r="K13" s="65" t="str">
        <f t="shared" ref="K13:K14" si="3">IFERROR(F13/H13-1,"n/a")</f>
        <v>n/a</v>
      </c>
      <c r="L13" s="61">
        <f t="shared" ref="L13:L14" si="4">IFERROR(F13/I13-1,"n/a")</f>
        <v>-2.8571428571428581E-2</v>
      </c>
      <c r="M13" s="69">
        <f>F13+'May-22'!M13</f>
        <v>320</v>
      </c>
      <c r="N13" s="69">
        <f>G13+'May-22'!N13</f>
        <v>4</v>
      </c>
      <c r="O13" s="69">
        <f>H13+'May-22'!O13</f>
        <v>43</v>
      </c>
      <c r="P13" s="69">
        <f>I13+'May-22'!P13</f>
        <v>362</v>
      </c>
      <c r="Q13" s="65">
        <f t="shared" ref="Q13:Q14" si="5">IFERROR(M13/N13-1,"n/a")</f>
        <v>79</v>
      </c>
      <c r="R13" s="65">
        <f t="shared" ref="R13:R14" si="6">IFERROR(M13/O13-1,"n/a")</f>
        <v>6.441860465116279</v>
      </c>
      <c r="S13" s="61">
        <f t="shared" ref="S13:S14" si="7">IFERROR(M13/P13-1,"n/a")</f>
        <v>-0.11602209944751385</v>
      </c>
      <c r="T13" s="69">
        <v>283</v>
      </c>
      <c r="U13" s="71">
        <v>43</v>
      </c>
      <c r="V13" s="71">
        <v>827</v>
      </c>
    </row>
    <row r="14" spans="1:38" ht="15">
      <c r="A14" s="10"/>
      <c r="B14" s="13"/>
      <c r="C14" s="34"/>
      <c r="D14" s="27" t="s">
        <v>11</v>
      </c>
      <c r="E14" s="33"/>
      <c r="F14" s="72">
        <v>182336</v>
      </c>
      <c r="G14" s="75">
        <v>4923</v>
      </c>
      <c r="H14" s="72">
        <v>0</v>
      </c>
      <c r="I14" s="72">
        <v>275367</v>
      </c>
      <c r="J14" s="65">
        <f t="shared" si="0"/>
        <v>36.037578712167381</v>
      </c>
      <c r="K14" s="65" t="str">
        <f t="shared" si="3"/>
        <v>n/a</v>
      </c>
      <c r="L14" s="61">
        <f t="shared" si="4"/>
        <v>-0.33784367771011048</v>
      </c>
      <c r="M14" s="69">
        <f>F14+'May-22'!M14</f>
        <v>533700</v>
      </c>
      <c r="N14" s="69">
        <f>G14+'May-22'!N14</f>
        <v>4923</v>
      </c>
      <c r="O14" s="69">
        <f>H14+'May-22'!O14</f>
        <v>140552</v>
      </c>
      <c r="P14" s="69">
        <f>I14+'May-22'!P14</f>
        <v>1040452</v>
      </c>
      <c r="Q14" s="65">
        <f t="shared" si="5"/>
        <v>107.40950639853747</v>
      </c>
      <c r="R14" s="65">
        <f t="shared" si="6"/>
        <v>2.7971711537366954</v>
      </c>
      <c r="S14" s="61">
        <f t="shared" si="7"/>
        <v>-0.487049859099699</v>
      </c>
      <c r="T14" s="69">
        <v>465109</v>
      </c>
      <c r="U14" s="71">
        <v>140552</v>
      </c>
      <c r="V14" s="71">
        <v>2552942</v>
      </c>
    </row>
    <row r="15" spans="1:38" ht="15">
      <c r="A15" s="10"/>
      <c r="B15" s="13"/>
      <c r="C15" s="32" t="s">
        <v>15</v>
      </c>
      <c r="D15" s="27"/>
      <c r="E15" s="33"/>
      <c r="F15" s="73"/>
      <c r="G15" s="73"/>
      <c r="H15" s="73"/>
      <c r="I15" s="73"/>
      <c r="J15" s="65"/>
      <c r="K15" s="65"/>
      <c r="L15" s="61"/>
      <c r="M15" s="44"/>
      <c r="N15" s="44"/>
      <c r="O15" s="44"/>
      <c r="P15" s="44"/>
      <c r="Q15" s="65"/>
      <c r="R15" s="65"/>
      <c r="S15" s="61"/>
      <c r="T15" s="44"/>
      <c r="U15" s="45"/>
      <c r="V15" s="45"/>
    </row>
    <row r="16" spans="1:38" ht="15">
      <c r="A16" s="10"/>
      <c r="B16" s="13"/>
      <c r="C16" s="34"/>
      <c r="D16" s="27" t="s">
        <v>5</v>
      </c>
      <c r="E16" s="33"/>
      <c r="F16" s="72">
        <v>63</v>
      </c>
      <c r="G16" s="72">
        <v>0</v>
      </c>
      <c r="H16" s="72">
        <v>0</v>
      </c>
      <c r="I16" s="72">
        <v>27</v>
      </c>
      <c r="J16" s="65" t="str">
        <f t="shared" si="0"/>
        <v>n/a</v>
      </c>
      <c r="K16" s="65" t="str">
        <f t="shared" ref="K16:K17" si="8">IFERROR(F16/H16-1,"n/a")</f>
        <v>n/a</v>
      </c>
      <c r="L16" s="61">
        <f>IFERROR(F16/I16-1,"n/a")</f>
        <v>1.3333333333333335</v>
      </c>
      <c r="M16" s="69">
        <f>F16+'May-22'!M16</f>
        <v>167</v>
      </c>
      <c r="N16" s="69">
        <f>G16+'May-22'!N16</f>
        <v>0</v>
      </c>
      <c r="O16" s="69">
        <f>H16+'May-22'!O16</f>
        <v>3</v>
      </c>
      <c r="P16" s="69">
        <f>I16+'May-22'!P16</f>
        <v>69</v>
      </c>
      <c r="Q16" s="65" t="str">
        <f t="shared" ref="Q16:Q17" si="9">IFERROR(M16/N16-1,"n/a")</f>
        <v>n/a</v>
      </c>
      <c r="R16" s="65">
        <f t="shared" ref="R16:R17" si="10">IFERROR(M16/O16-1,"n/a")</f>
        <v>54.666666666666664</v>
      </c>
      <c r="S16" s="61">
        <f t="shared" ref="S16:S17" si="11">IFERROR(M16/P16-1,"n/a")</f>
        <v>1.4202898550724639</v>
      </c>
      <c r="T16" s="69">
        <v>23</v>
      </c>
      <c r="U16" s="71">
        <v>4</v>
      </c>
      <c r="V16" s="71">
        <v>191</v>
      </c>
    </row>
    <row r="17" spans="1:38" ht="15">
      <c r="A17" s="10"/>
      <c r="B17" s="13"/>
      <c r="C17" s="34"/>
      <c r="D17" s="27" t="s">
        <v>11</v>
      </c>
      <c r="E17" s="33"/>
      <c r="F17" s="72">
        <f>68807+7503</f>
        <v>76310</v>
      </c>
      <c r="G17" s="72">
        <v>0</v>
      </c>
      <c r="H17" s="72">
        <v>0</v>
      </c>
      <c r="I17" s="74">
        <f>22769+11039</f>
        <v>33808</v>
      </c>
      <c r="J17" s="65" t="str">
        <f t="shared" si="0"/>
        <v>n/a</v>
      </c>
      <c r="K17" s="65" t="str">
        <f t="shared" si="8"/>
        <v>n/a</v>
      </c>
      <c r="L17" s="61">
        <f t="shared" ref="L17:L28" si="12">IFERROR(F17/I17-1,"n/a")</f>
        <v>1.257158069096072</v>
      </c>
      <c r="M17" s="69">
        <f>F17+'May-22'!M17</f>
        <v>158488</v>
      </c>
      <c r="N17" s="69">
        <f>G17+'May-22'!N17</f>
        <v>0</v>
      </c>
      <c r="O17" s="69">
        <f>H17+'May-22'!O17</f>
        <v>1642</v>
      </c>
      <c r="P17" s="69">
        <f>I17+'May-22'!P17</f>
        <v>76540</v>
      </c>
      <c r="Q17" s="65" t="str">
        <f t="shared" si="9"/>
        <v>n/a</v>
      </c>
      <c r="R17" s="65">
        <f t="shared" si="10"/>
        <v>95.521315468940315</v>
      </c>
      <c r="S17" s="61">
        <f t="shared" si="11"/>
        <v>1.0706558662137446</v>
      </c>
      <c r="T17" s="69">
        <v>8611</v>
      </c>
      <c r="U17" s="71">
        <v>1753</v>
      </c>
      <c r="V17" s="71">
        <v>254421</v>
      </c>
    </row>
    <row r="18" spans="1:38" ht="15">
      <c r="A18" s="10"/>
      <c r="B18" s="13"/>
      <c r="C18" s="32" t="s">
        <v>10</v>
      </c>
      <c r="D18" s="27"/>
      <c r="E18" s="35"/>
      <c r="F18" s="73"/>
      <c r="G18" s="73"/>
      <c r="H18" s="73"/>
      <c r="I18" s="73"/>
      <c r="J18" s="65"/>
      <c r="K18" s="65"/>
      <c r="L18" s="61"/>
      <c r="M18" s="44"/>
      <c r="N18" s="44"/>
      <c r="O18" s="44"/>
      <c r="P18" s="44"/>
      <c r="Q18" s="65"/>
      <c r="R18" s="65"/>
      <c r="S18" s="61"/>
      <c r="T18" s="44"/>
      <c r="U18" s="45"/>
      <c r="V18" s="45"/>
    </row>
    <row r="19" spans="1:38" ht="15">
      <c r="A19" s="10"/>
      <c r="B19" s="13"/>
      <c r="C19" s="34"/>
      <c r="D19" s="27" t="s">
        <v>5</v>
      </c>
      <c r="E19" s="35"/>
      <c r="F19" s="75">
        <v>76</v>
      </c>
      <c r="G19" s="72">
        <v>7</v>
      </c>
      <c r="H19" s="72">
        <v>0</v>
      </c>
      <c r="I19" s="72">
        <v>92</v>
      </c>
      <c r="J19" s="65">
        <f t="shared" si="0"/>
        <v>9.8571428571428577</v>
      </c>
      <c r="K19" s="65" t="str">
        <f t="shared" ref="K19:K20" si="13">IFERROR(F19/H19-1,"n/a")</f>
        <v>n/a</v>
      </c>
      <c r="L19" s="61">
        <f t="shared" si="12"/>
        <v>-0.17391304347826086</v>
      </c>
      <c r="M19" s="69">
        <f>F19+'May-22'!M19</f>
        <v>600</v>
      </c>
      <c r="N19" s="69">
        <f>G19+'May-22'!N19</f>
        <v>7</v>
      </c>
      <c r="O19" s="69">
        <f>H19+'May-22'!O19</f>
        <v>406</v>
      </c>
      <c r="P19" s="69">
        <f>I19+'May-22'!P19</f>
        <v>592</v>
      </c>
      <c r="Q19" s="65">
        <f t="shared" ref="Q19:Q20" si="14">IFERROR(M19/N19-1,"n/a")</f>
        <v>84.714285714285708</v>
      </c>
      <c r="R19" s="65">
        <f t="shared" ref="R19:R20" si="15">IFERROR(M19/O19-1,"n/a")</f>
        <v>0.47783251231527091</v>
      </c>
      <c r="S19" s="61">
        <f t="shared" ref="S19:S20" si="16">IFERROR(M19/P19-1,"n/a")</f>
        <v>1.3513513513513598E-2</v>
      </c>
      <c r="T19" s="69">
        <v>411</v>
      </c>
      <c r="U19" s="71">
        <v>406</v>
      </c>
      <c r="V19" s="71">
        <v>1205</v>
      </c>
    </row>
    <row r="20" spans="1:38" ht="15">
      <c r="A20" s="10"/>
      <c r="B20" s="13"/>
      <c r="C20" s="34"/>
      <c r="D20" s="27" t="s">
        <v>11</v>
      </c>
      <c r="E20" s="33"/>
      <c r="F20" s="75">
        <v>251675</v>
      </c>
      <c r="G20" s="72">
        <v>5111</v>
      </c>
      <c r="H20" s="72">
        <v>0</v>
      </c>
      <c r="I20" s="75">
        <v>310947</v>
      </c>
      <c r="J20" s="65">
        <f t="shared" si="0"/>
        <v>48.241831344159657</v>
      </c>
      <c r="K20" s="65" t="str">
        <f t="shared" si="13"/>
        <v>n/a</v>
      </c>
      <c r="L20" s="61">
        <f t="shared" si="12"/>
        <v>-0.19061769369056458</v>
      </c>
      <c r="M20" s="69">
        <f>F20+'May-22'!M20</f>
        <v>1353065</v>
      </c>
      <c r="N20" s="69">
        <f>G20+'May-22'!N20</f>
        <v>5111</v>
      </c>
      <c r="O20" s="69">
        <f>H20+'May-22'!O20</f>
        <v>833999</v>
      </c>
      <c r="P20" s="69">
        <f>I20+'May-22'!P20</f>
        <v>2011754</v>
      </c>
      <c r="Q20" s="65">
        <f t="shared" si="14"/>
        <v>263.73586382312658</v>
      </c>
      <c r="R20" s="65">
        <f t="shared" si="15"/>
        <v>0.62238204122546903</v>
      </c>
      <c r="S20" s="61">
        <f t="shared" si="16"/>
        <v>-0.32742025118379281</v>
      </c>
      <c r="T20" s="69">
        <v>687449</v>
      </c>
      <c r="U20" s="71">
        <v>833999</v>
      </c>
      <c r="V20" s="71">
        <v>3859183</v>
      </c>
    </row>
    <row r="21" spans="1:38" ht="15">
      <c r="A21" s="10"/>
      <c r="B21" s="13"/>
      <c r="C21" s="32" t="s">
        <v>16</v>
      </c>
      <c r="D21" s="27"/>
      <c r="E21" s="33"/>
      <c r="F21" s="73"/>
      <c r="G21" s="73"/>
      <c r="H21" s="73"/>
      <c r="I21" s="73"/>
      <c r="J21" s="65"/>
      <c r="K21" s="65"/>
      <c r="L21" s="61"/>
      <c r="M21" s="44"/>
      <c r="N21" s="44"/>
      <c r="O21" s="44"/>
      <c r="P21" s="44"/>
      <c r="Q21" s="65"/>
      <c r="R21" s="65"/>
      <c r="S21" s="61"/>
      <c r="T21" s="44"/>
      <c r="U21" s="45"/>
      <c r="V21" s="45"/>
    </row>
    <row r="22" spans="1:38" ht="15">
      <c r="A22" s="10"/>
      <c r="B22" s="13"/>
      <c r="C22" s="34"/>
      <c r="D22" s="27" t="s">
        <v>5</v>
      </c>
      <c r="E22" s="33"/>
      <c r="F22" s="75">
        <v>40</v>
      </c>
      <c r="G22" s="75">
        <v>5</v>
      </c>
      <c r="H22" s="72">
        <v>0</v>
      </c>
      <c r="I22" s="75">
        <v>40</v>
      </c>
      <c r="J22" s="65">
        <f t="shared" si="0"/>
        <v>7</v>
      </c>
      <c r="K22" s="65" t="str">
        <f t="shared" ref="K22:K23" si="17">IFERROR(F22/H22-1,"n/a")</f>
        <v>n/a</v>
      </c>
      <c r="L22" s="61">
        <f t="shared" si="12"/>
        <v>0</v>
      </c>
      <c r="M22" s="69">
        <f>F22+'May-22'!M22</f>
        <v>123</v>
      </c>
      <c r="N22" s="69">
        <f>G22+'May-22'!N22</f>
        <v>28</v>
      </c>
      <c r="O22" s="69">
        <f>H22+'May-22'!O22</f>
        <v>9</v>
      </c>
      <c r="P22" s="69">
        <f>I22+'May-22'!P22</f>
        <v>133</v>
      </c>
      <c r="Q22" s="65">
        <f t="shared" ref="Q22:Q23" si="18">IFERROR(M22/N22-1,"n/a")</f>
        <v>3.3928571428571432</v>
      </c>
      <c r="R22" s="65">
        <f t="shared" ref="R22:R23" si="19">IFERROR(M22/O22-1,"n/a")</f>
        <v>12.666666666666666</v>
      </c>
      <c r="S22" s="61">
        <f t="shared" ref="S22:S23" si="20">IFERROR(M22/P22-1,"n/a")</f>
        <v>-7.5187969924812026E-2</v>
      </c>
      <c r="T22" s="69">
        <v>107</v>
      </c>
      <c r="U22" s="71">
        <v>32</v>
      </c>
      <c r="V22" s="71">
        <v>372</v>
      </c>
    </row>
    <row r="23" spans="1:38" ht="15">
      <c r="A23" s="10"/>
      <c r="B23" s="13"/>
      <c r="C23" s="34"/>
      <c r="D23" s="27" t="s">
        <v>11</v>
      </c>
      <c r="E23" s="33"/>
      <c r="F23" s="75">
        <v>70422</v>
      </c>
      <c r="G23" s="75">
        <v>5859</v>
      </c>
      <c r="H23" s="72">
        <v>0</v>
      </c>
      <c r="I23" s="75">
        <v>102192</v>
      </c>
      <c r="J23" s="65">
        <f t="shared" si="0"/>
        <v>11.019457245263697</v>
      </c>
      <c r="K23" s="65" t="str">
        <f t="shared" si="17"/>
        <v>n/a</v>
      </c>
      <c r="L23" s="61">
        <f t="shared" si="12"/>
        <v>-0.31088539220291211</v>
      </c>
      <c r="M23" s="69">
        <f>F23+'May-22'!M23</f>
        <v>176445</v>
      </c>
      <c r="N23" s="69">
        <f>G23+'May-22'!N23</f>
        <v>31401</v>
      </c>
      <c r="O23" s="69">
        <f>H23+'May-22'!O23</f>
        <v>40221</v>
      </c>
      <c r="P23" s="69">
        <f>I23+'May-22'!P23</f>
        <v>374371</v>
      </c>
      <c r="Q23" s="65">
        <f t="shared" si="18"/>
        <v>4.6190885640584698</v>
      </c>
      <c r="R23" s="65">
        <f t="shared" si="19"/>
        <v>3.3868874468561199</v>
      </c>
      <c r="S23" s="61">
        <f t="shared" si="20"/>
        <v>-0.52868945511270904</v>
      </c>
      <c r="T23" s="69">
        <v>147132</v>
      </c>
      <c r="U23" s="71">
        <v>59180</v>
      </c>
      <c r="V23" s="71">
        <v>902015</v>
      </c>
    </row>
    <row r="24" spans="1:38" ht="15">
      <c r="A24" s="10"/>
      <c r="B24" s="13"/>
      <c r="C24" s="32" t="s">
        <v>17</v>
      </c>
      <c r="D24" s="27"/>
      <c r="E24" s="33"/>
      <c r="F24" s="73"/>
      <c r="G24" s="73"/>
      <c r="H24" s="73"/>
      <c r="I24" s="73"/>
      <c r="J24" s="65"/>
      <c r="K24" s="65"/>
      <c r="L24" s="61"/>
      <c r="M24" s="44"/>
      <c r="N24" s="44"/>
      <c r="O24" s="44"/>
      <c r="P24" s="44"/>
      <c r="Q24" s="65"/>
      <c r="R24" s="65"/>
      <c r="S24" s="61"/>
      <c r="T24" s="44"/>
      <c r="U24" s="45"/>
      <c r="V24" s="45"/>
    </row>
    <row r="25" spans="1:38" ht="15">
      <c r="B25" s="13"/>
      <c r="C25" s="34"/>
      <c r="D25" s="27" t="s">
        <v>5</v>
      </c>
      <c r="E25" s="33"/>
      <c r="F25" s="75">
        <v>80</v>
      </c>
      <c r="G25" s="75">
        <v>10</v>
      </c>
      <c r="H25" s="72">
        <v>0</v>
      </c>
      <c r="I25" s="75">
        <v>46</v>
      </c>
      <c r="J25" s="65">
        <f t="shared" si="0"/>
        <v>7</v>
      </c>
      <c r="K25" s="65" t="str">
        <f t="shared" ref="K25:K28" si="21">IFERROR(F25/H25-1,"n/a")</f>
        <v>n/a</v>
      </c>
      <c r="L25" s="61">
        <f t="shared" si="12"/>
        <v>0.73913043478260865</v>
      </c>
      <c r="M25" s="69">
        <f>F25+'May-22'!M25</f>
        <v>209</v>
      </c>
      <c r="N25" s="69">
        <f>G25+'May-22'!N25</f>
        <v>24</v>
      </c>
      <c r="O25" s="69">
        <f>H25+'May-22'!O25</f>
        <v>1</v>
      </c>
      <c r="P25" s="69">
        <f>I25+'May-22'!P25</f>
        <v>126</v>
      </c>
      <c r="Q25" s="65">
        <f t="shared" ref="Q25:Q28" si="22">IFERROR(M25/N25-1,"n/a")</f>
        <v>7.7083333333333339</v>
      </c>
      <c r="R25" s="65">
        <f t="shared" ref="R25:R28" si="23">IFERROR(M25/O25-1,"n/a")</f>
        <v>208</v>
      </c>
      <c r="S25" s="61">
        <f t="shared" ref="S25:S28" si="24">IFERROR(M25/P25-1,"n/a")</f>
        <v>0.65873015873015883</v>
      </c>
      <c r="T25" s="69">
        <v>124</v>
      </c>
      <c r="U25" s="71">
        <v>37</v>
      </c>
      <c r="V25" s="71">
        <f>282+81</f>
        <v>363</v>
      </c>
    </row>
    <row r="26" spans="1:38" ht="15">
      <c r="A26" s="10"/>
      <c r="B26" s="13"/>
      <c r="C26" s="34"/>
      <c r="D26" s="27" t="s">
        <v>11</v>
      </c>
      <c r="E26" s="33"/>
      <c r="F26" s="75">
        <f>77613+19398</f>
        <v>97011</v>
      </c>
      <c r="G26" s="75">
        <v>17608</v>
      </c>
      <c r="H26" s="72">
        <v>2213</v>
      </c>
      <c r="I26" s="75">
        <f>96544+20022</f>
        <v>116566</v>
      </c>
      <c r="J26" s="65">
        <f t="shared" si="0"/>
        <v>4.509484325306679</v>
      </c>
      <c r="K26" s="65">
        <f t="shared" si="21"/>
        <v>42.836873023045641</v>
      </c>
      <c r="L26" s="61">
        <f t="shared" si="12"/>
        <v>-0.16775903779832879</v>
      </c>
      <c r="M26" s="69">
        <f>F26+'May-22'!M26</f>
        <v>219413</v>
      </c>
      <c r="N26" s="69">
        <f>G26+'May-22'!N26</f>
        <v>32652</v>
      </c>
      <c r="O26" s="69">
        <f>H26+'May-22'!O26</f>
        <v>3105</v>
      </c>
      <c r="P26" s="69">
        <f>I26+'May-22'!P26</f>
        <v>311181</v>
      </c>
      <c r="Q26" s="65">
        <f t="shared" si="22"/>
        <v>5.7197415165992895</v>
      </c>
      <c r="R26" s="65">
        <f t="shared" si="23"/>
        <v>69.664412238325284</v>
      </c>
      <c r="S26" s="61">
        <f t="shared" si="24"/>
        <v>-0.29490232372799108</v>
      </c>
      <c r="T26" s="69">
        <v>165083</v>
      </c>
      <c r="U26" s="71">
        <f>20768+8294</f>
        <v>29062</v>
      </c>
      <c r="V26" s="71">
        <f>659951+168729+38484</f>
        <v>867164</v>
      </c>
    </row>
    <row r="27" spans="1:38" ht="15.75" thickBot="1">
      <c r="A27" s="10"/>
      <c r="B27" s="13"/>
      <c r="C27" s="36" t="s">
        <v>12</v>
      </c>
      <c r="D27" s="37"/>
      <c r="E27" s="38"/>
      <c r="F27" s="76">
        <f t="shared" ref="F27:I28" si="25">F10+F13+F16+F19+F22+F25</f>
        <v>328</v>
      </c>
      <c r="G27" s="76">
        <f t="shared" si="25"/>
        <v>26</v>
      </c>
      <c r="H27" s="76">
        <f t="shared" si="25"/>
        <v>0</v>
      </c>
      <c r="I27" s="76">
        <f t="shared" si="25"/>
        <v>280</v>
      </c>
      <c r="J27" s="67">
        <f t="shared" si="0"/>
        <v>11.615384615384615</v>
      </c>
      <c r="K27" s="67" t="str">
        <f t="shared" si="21"/>
        <v>n/a</v>
      </c>
      <c r="L27" s="63">
        <f t="shared" si="12"/>
        <v>0.17142857142857149</v>
      </c>
      <c r="M27" s="47">
        <f t="shared" ref="M27:P28" si="26">M10+M13+M16+M19+M22+M25</f>
        <v>1645</v>
      </c>
      <c r="N27" s="47">
        <f t="shared" si="26"/>
        <v>63</v>
      </c>
      <c r="O27" s="47">
        <f t="shared" si="26"/>
        <v>607</v>
      </c>
      <c r="P27" s="47">
        <f t="shared" si="26"/>
        <v>1522</v>
      </c>
      <c r="Q27" s="67">
        <f t="shared" si="22"/>
        <v>25.111111111111111</v>
      </c>
      <c r="R27" s="67">
        <f t="shared" si="23"/>
        <v>1.7100494233937398</v>
      </c>
      <c r="S27" s="63">
        <f t="shared" si="24"/>
        <v>8.0814717477003972E-2</v>
      </c>
      <c r="T27" s="47">
        <f t="shared" ref="T27:V28" si="27">T10+T13+T16+T19+T22+T25</f>
        <v>1059</v>
      </c>
      <c r="U27" s="47">
        <f t="shared" si="27"/>
        <v>667</v>
      </c>
      <c r="V27" s="47">
        <f t="shared" si="27"/>
        <v>3344</v>
      </c>
    </row>
    <row r="28" spans="1:38" s="23" customFormat="1" ht="16.5" thickTop="1" thickBot="1">
      <c r="A28" s="10"/>
      <c r="B28" s="13"/>
      <c r="C28" s="39" t="s">
        <v>13</v>
      </c>
      <c r="D28" s="40"/>
      <c r="E28" s="41"/>
      <c r="F28" s="77">
        <f t="shared" si="25"/>
        <v>677754</v>
      </c>
      <c r="G28" s="77">
        <f t="shared" si="25"/>
        <v>33501</v>
      </c>
      <c r="H28" s="77">
        <f t="shared" si="25"/>
        <v>2213</v>
      </c>
      <c r="I28" s="77">
        <f t="shared" si="25"/>
        <v>852389</v>
      </c>
      <c r="J28" s="68">
        <f t="shared" si="0"/>
        <v>19.230858780334916</v>
      </c>
      <c r="K28" s="68">
        <f t="shared" si="21"/>
        <v>305.26028016267509</v>
      </c>
      <c r="L28" s="64">
        <f t="shared" si="12"/>
        <v>-0.2048771159646593</v>
      </c>
      <c r="M28" s="48">
        <f t="shared" si="26"/>
        <v>2632135</v>
      </c>
      <c r="N28" s="48">
        <f t="shared" si="26"/>
        <v>74087</v>
      </c>
      <c r="O28" s="48">
        <f t="shared" si="26"/>
        <v>1278404</v>
      </c>
      <c r="P28" s="48">
        <f t="shared" si="26"/>
        <v>4275202</v>
      </c>
      <c r="Q28" s="68">
        <f t="shared" si="22"/>
        <v>34.527622929798753</v>
      </c>
      <c r="R28" s="68">
        <f t="shared" si="23"/>
        <v>1.0589226879765707</v>
      </c>
      <c r="S28" s="64">
        <f t="shared" si="24"/>
        <v>-0.38432499797670383</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t="15" hidden="1">
      <c r="A30" s="10"/>
      <c r="B30" s="10"/>
      <c r="C30" s="10"/>
      <c r="D30" s="10"/>
      <c r="E30" s="10"/>
      <c r="F30" s="10"/>
      <c r="G30" s="42"/>
      <c r="H30" s="42"/>
      <c r="I30" s="42"/>
      <c r="J30" s="42"/>
      <c r="K30" s="10"/>
      <c r="L30" s="10"/>
      <c r="M30" s="10"/>
      <c r="N30" s="10"/>
      <c r="O30" s="10"/>
      <c r="P30" s="10"/>
      <c r="Q30" s="10"/>
      <c r="R30" s="10"/>
      <c r="S30" s="10"/>
      <c r="T30" s="10"/>
      <c r="U30" s="10"/>
      <c r="V30" s="10"/>
    </row>
    <row r="31" spans="1:38" ht="15" hidden="1">
      <c r="A31" s="10"/>
      <c r="B31" s="10"/>
      <c r="C31" s="10"/>
      <c r="D31" s="10"/>
      <c r="E31" s="10"/>
      <c r="F31" s="10"/>
      <c r="G31" s="42"/>
      <c r="H31" s="42"/>
      <c r="I31" s="42"/>
      <c r="J31" s="42"/>
      <c r="K31" s="10"/>
      <c r="L31" s="10"/>
      <c r="M31" s="10"/>
      <c r="N31" s="10"/>
      <c r="O31" s="10"/>
      <c r="P31" s="10"/>
      <c r="Q31" s="10"/>
      <c r="R31" s="10"/>
      <c r="S31" s="10"/>
      <c r="T31" s="10"/>
      <c r="U31" s="10"/>
      <c r="V31" s="10"/>
    </row>
    <row r="32" spans="1:38" ht="15"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5" hidden="1">
      <c r="G33" s="42"/>
      <c r="H33" s="42"/>
      <c r="I33" s="42"/>
      <c r="J33" s="42"/>
    </row>
    <row r="34" spans="7:10" s="10" customFormat="1" ht="15" hidden="1">
      <c r="G34" s="42"/>
      <c r="H34" s="42"/>
      <c r="I34" s="42"/>
      <c r="J34" s="42"/>
    </row>
    <row r="35" spans="7:10" s="10" customFormat="1" ht="15" hidden="1">
      <c r="G35" s="42"/>
      <c r="H35" s="42"/>
      <c r="I35" s="42"/>
      <c r="J35" s="42"/>
    </row>
    <row r="36" spans="7:10" s="10" customFormat="1" ht="15" hidden="1">
      <c r="G36" s="42"/>
      <c r="H36" s="42"/>
      <c r="I36" s="42"/>
      <c r="J36" s="42"/>
    </row>
    <row r="37" spans="7:10" s="10" customFormat="1" ht="15" hidden="1">
      <c r="G37" s="42"/>
      <c r="H37" s="42"/>
      <c r="I37" s="42"/>
      <c r="J37" s="42"/>
    </row>
    <row r="38" spans="7:10" s="10" customFormat="1" ht="15" hidden="1">
      <c r="G38" s="42"/>
      <c r="H38" s="42"/>
      <c r="I38" s="42"/>
      <c r="J38" s="42"/>
    </row>
    <row r="39" spans="7:10" s="10" customFormat="1" ht="15" hidden="1">
      <c r="G39" s="42"/>
      <c r="H39" s="42"/>
      <c r="I39" s="42"/>
      <c r="J39" s="42"/>
    </row>
    <row r="40" spans="7:10" s="10" customFormat="1" ht="15" hidden="1">
      <c r="G40" s="42"/>
      <c r="H40" s="42"/>
      <c r="I40" s="42"/>
      <c r="J40" s="42"/>
    </row>
    <row r="41" spans="7:10" s="10" customFormat="1" ht="15" hidden="1">
      <c r="G41" s="42"/>
      <c r="H41" s="42"/>
      <c r="I41" s="42"/>
      <c r="J41" s="42"/>
    </row>
    <row r="42" spans="7:10" s="10" customFormat="1" ht="15" hidden="1">
      <c r="G42" s="42"/>
      <c r="H42" s="42"/>
      <c r="I42" s="42"/>
      <c r="J42" s="42"/>
    </row>
    <row r="43" spans="7:10" s="10" customFormat="1" ht="15" hidden="1">
      <c r="G43" s="42"/>
      <c r="H43" s="42"/>
      <c r="I43" s="42"/>
      <c r="J43" s="42"/>
    </row>
    <row r="44" spans="7:10" s="10" customFormat="1" ht="15" hidden="1">
      <c r="G44" s="42"/>
      <c r="H44" s="42"/>
      <c r="I44" s="42"/>
      <c r="J44" s="42"/>
    </row>
    <row r="45" spans="7:10" s="10" customFormat="1" ht="15" hidden="1">
      <c r="G45" s="42"/>
      <c r="H45" s="42"/>
      <c r="I45" s="42"/>
      <c r="J45" s="42"/>
    </row>
    <row r="46" spans="7:10" s="10" customFormat="1" ht="15" hidden="1">
      <c r="G46" s="42"/>
      <c r="H46" s="42"/>
      <c r="I46" s="42"/>
      <c r="J46" s="42"/>
    </row>
    <row r="47" spans="7:10" s="10" customFormat="1" ht="15" hidden="1">
      <c r="G47" s="42"/>
      <c r="H47" s="42"/>
      <c r="I47" s="42"/>
      <c r="J47" s="42"/>
    </row>
    <row r="48" spans="7:10" s="10" customFormat="1" ht="15"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79"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48</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02" t="s">
        <v>47</v>
      </c>
      <c r="G6" s="102"/>
      <c r="H6" s="102"/>
      <c r="I6" s="102"/>
      <c r="J6" s="102"/>
      <c r="K6" s="102"/>
      <c r="L6" s="103"/>
      <c r="M6" s="104" t="s">
        <v>49</v>
      </c>
      <c r="N6" s="102"/>
      <c r="O6" s="102"/>
      <c r="P6" s="102"/>
      <c r="Q6" s="102"/>
      <c r="R6" s="102"/>
      <c r="S6" s="103"/>
      <c r="T6" s="104" t="s">
        <v>9</v>
      </c>
      <c r="U6" s="102"/>
      <c r="V6" s="102"/>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3</v>
      </c>
      <c r="G10" s="69">
        <v>0</v>
      </c>
      <c r="H10" s="69">
        <v>0</v>
      </c>
      <c r="I10" s="69">
        <v>8</v>
      </c>
      <c r="J10" s="65" t="str">
        <f t="shared" ref="J10:J28" si="0">IFERROR(F10/G10-1,"n/a")</f>
        <v>n/a</v>
      </c>
      <c r="K10" s="65" t="str">
        <f>IFERROR(F10/H10-1,"n/a")</f>
        <v>n/a</v>
      </c>
      <c r="L10" s="61">
        <f t="shared" ref="L10:L11" si="1">IFERROR(F10/I10-1,"n/a")</f>
        <v>-0.625</v>
      </c>
      <c r="M10" s="69">
        <f>F10+'Apr-22'!M10</f>
        <v>225</v>
      </c>
      <c r="N10" s="69">
        <f>G10+'Apr-22'!N10</f>
        <v>0</v>
      </c>
      <c r="O10" s="69">
        <f>H10+'Apr-22'!O10</f>
        <v>145</v>
      </c>
      <c r="P10" s="69">
        <f>I10+'Apr-22'!P10</f>
        <v>235</v>
      </c>
      <c r="Q10" s="65" t="str">
        <f>IFERROR(M10/N10-1,"n/a")</f>
        <v>n/a</v>
      </c>
      <c r="R10" s="65">
        <f>IFERROR(M10/O10-1,"n/a")</f>
        <v>0.55172413793103448</v>
      </c>
      <c r="S10" s="61">
        <f>IFERROR(M10/P10-1,"n/a")</f>
        <v>-4.2553191489361653E-2</v>
      </c>
      <c r="T10" s="69">
        <v>111</v>
      </c>
      <c r="U10" s="71">
        <v>145</v>
      </c>
      <c r="V10" s="71">
        <v>386</v>
      </c>
    </row>
    <row r="11" spans="1:38">
      <c r="A11" s="10"/>
      <c r="B11" s="13"/>
      <c r="C11" s="34"/>
      <c r="D11" s="27" t="s">
        <v>11</v>
      </c>
      <c r="E11" s="33"/>
      <c r="F11" s="69">
        <v>3881</v>
      </c>
      <c r="G11" s="69">
        <v>0</v>
      </c>
      <c r="H11" s="69">
        <v>0</v>
      </c>
      <c r="I11" s="69">
        <v>15340</v>
      </c>
      <c r="J11" s="65" t="str">
        <f t="shared" si="0"/>
        <v>n/a</v>
      </c>
      <c r="K11" s="65" t="str">
        <f t="shared" ref="K11" si="2">IFERROR(F11/H11-1,"n/a")</f>
        <v>n/a</v>
      </c>
      <c r="L11" s="61">
        <f t="shared" si="1"/>
        <v>-0.74700130378096485</v>
      </c>
      <c r="M11" s="69">
        <f>F11+'Apr-22'!M11</f>
        <v>191024</v>
      </c>
      <c r="N11" s="69">
        <f>G11+'Apr-22'!N11</f>
        <v>0</v>
      </c>
      <c r="O11" s="69">
        <f>H11+'Apr-22'!O11</f>
        <v>258885</v>
      </c>
      <c r="P11" s="69">
        <f>I11+'Apr-22'!P11</f>
        <v>447395</v>
      </c>
      <c r="Q11" s="65" t="str">
        <f>IFERROR(M11/N11-1,"n/a")</f>
        <v>n/a</v>
      </c>
      <c r="R11" s="65">
        <f>IFERROR(M11/O11-1,"n/a")</f>
        <v>-0.26212797187940595</v>
      </c>
      <c r="S11" s="61">
        <f>IFERROR(M11/P11-1,"n/a")</f>
        <v>-0.57303054347947557</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103</v>
      </c>
      <c r="G13" s="69">
        <v>0</v>
      </c>
      <c r="H13" s="69">
        <v>0</v>
      </c>
      <c r="I13" s="69">
        <v>113</v>
      </c>
      <c r="J13" s="65" t="str">
        <f t="shared" si="0"/>
        <v>n/a</v>
      </c>
      <c r="K13" s="65" t="str">
        <f t="shared" ref="K13:K14" si="3">IFERROR(F13/H13-1,"n/a")</f>
        <v>n/a</v>
      </c>
      <c r="L13" s="61">
        <f t="shared" ref="L13:L14" si="4">IFERROR(F13/I13-1,"n/a")</f>
        <v>-8.8495575221238965E-2</v>
      </c>
      <c r="M13" s="69">
        <f>F13+'Apr-22'!M13</f>
        <v>252</v>
      </c>
      <c r="N13" s="69">
        <f>G13+'Apr-22'!N13</f>
        <v>0</v>
      </c>
      <c r="O13" s="69">
        <f>H13+'Apr-22'!O13</f>
        <v>43</v>
      </c>
      <c r="P13" s="69">
        <f>I13+'Apr-22'!P13</f>
        <v>292</v>
      </c>
      <c r="Q13" s="65" t="str">
        <f t="shared" ref="Q13:Q14" si="5">IFERROR(M13/N13-1,"n/a")</f>
        <v>n/a</v>
      </c>
      <c r="R13" s="65">
        <f t="shared" ref="R13:R14" si="6">IFERROR(M13/O13-1,"n/a")</f>
        <v>4.8604651162790695</v>
      </c>
      <c r="S13" s="61">
        <f t="shared" ref="S13:S14" si="7">IFERROR(M13/P13-1,"n/a")</f>
        <v>-0.13698630136986301</v>
      </c>
      <c r="T13" s="69">
        <v>283</v>
      </c>
      <c r="U13" s="71">
        <v>43</v>
      </c>
      <c r="V13" s="71">
        <v>827</v>
      </c>
    </row>
    <row r="14" spans="1:38">
      <c r="A14" s="10"/>
      <c r="B14" s="13"/>
      <c r="C14" s="34"/>
      <c r="D14" s="27" t="s">
        <v>11</v>
      </c>
      <c r="E14" s="33"/>
      <c r="F14" s="69">
        <v>168018</v>
      </c>
      <c r="G14" s="69">
        <v>0</v>
      </c>
      <c r="H14" s="69">
        <v>0</v>
      </c>
      <c r="I14" s="69">
        <v>300445</v>
      </c>
      <c r="J14" s="65" t="str">
        <f t="shared" si="0"/>
        <v>n/a</v>
      </c>
      <c r="K14" s="65" t="str">
        <f t="shared" si="3"/>
        <v>n/a</v>
      </c>
      <c r="L14" s="61">
        <f t="shared" si="4"/>
        <v>-0.44076952520428037</v>
      </c>
      <c r="M14" s="69">
        <f>F14+'Apr-22'!M14</f>
        <v>351364</v>
      </c>
      <c r="N14" s="69">
        <f>G14+'Apr-22'!N14</f>
        <v>0</v>
      </c>
      <c r="O14" s="69">
        <f>H14+'Apr-22'!O14</f>
        <v>140552</v>
      </c>
      <c r="P14" s="69">
        <f>I14+'Apr-22'!P14</f>
        <v>765085</v>
      </c>
      <c r="Q14" s="65" t="str">
        <f t="shared" si="5"/>
        <v>n/a</v>
      </c>
      <c r="R14" s="65">
        <f t="shared" si="6"/>
        <v>1.4998861631282372</v>
      </c>
      <c r="S14" s="61">
        <f t="shared" si="7"/>
        <v>-0.54075168118575068</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68</v>
      </c>
      <c r="G16" s="69">
        <v>0</v>
      </c>
      <c r="H16" s="69">
        <v>0</v>
      </c>
      <c r="I16" s="69">
        <v>23</v>
      </c>
      <c r="J16" s="65" t="str">
        <f t="shared" si="0"/>
        <v>n/a</v>
      </c>
      <c r="K16" s="65" t="str">
        <f t="shared" ref="K16:K17" si="8">IFERROR(F16/H16-1,"n/a")</f>
        <v>n/a</v>
      </c>
      <c r="L16" s="61">
        <f>IFERROR(F16/I16-1,"n/a")</f>
        <v>1.9565217391304346</v>
      </c>
      <c r="M16" s="69">
        <f>F16+'Apr-22'!M16</f>
        <v>104</v>
      </c>
      <c r="N16" s="69">
        <f>G16+'Apr-22'!N16</f>
        <v>0</v>
      </c>
      <c r="O16" s="69">
        <f>H16+'Apr-22'!O16</f>
        <v>3</v>
      </c>
      <c r="P16" s="69">
        <f>I16+'Apr-22'!P16</f>
        <v>42</v>
      </c>
      <c r="Q16" s="65" t="str">
        <f t="shared" ref="Q16:Q17" si="9">IFERROR(M16/N16-1,"n/a")</f>
        <v>n/a</v>
      </c>
      <c r="R16" s="65">
        <f t="shared" ref="R16:R17" si="10">IFERROR(M16/O16-1,"n/a")</f>
        <v>33.666666666666664</v>
      </c>
      <c r="S16" s="61">
        <f t="shared" ref="S16:S17" si="11">IFERROR(M16/P16-1,"n/a")</f>
        <v>1.4761904761904763</v>
      </c>
      <c r="T16" s="69">
        <v>23</v>
      </c>
      <c r="U16" s="71">
        <v>4</v>
      </c>
      <c r="V16" s="71">
        <v>191</v>
      </c>
    </row>
    <row r="17" spans="1:38">
      <c r="A17" s="10"/>
      <c r="B17" s="13"/>
      <c r="C17" s="34"/>
      <c r="D17" s="27" t="s">
        <v>11</v>
      </c>
      <c r="E17" s="33"/>
      <c r="F17" s="69">
        <v>59882</v>
      </c>
      <c r="G17" s="69">
        <v>0</v>
      </c>
      <c r="H17" s="69">
        <v>0</v>
      </c>
      <c r="I17" s="69">
        <v>23341</v>
      </c>
      <c r="J17" s="65" t="str">
        <f t="shared" si="0"/>
        <v>n/a</v>
      </c>
      <c r="K17" s="65" t="str">
        <f t="shared" si="8"/>
        <v>n/a</v>
      </c>
      <c r="L17" s="61">
        <f t="shared" ref="L17:L28" si="12">IFERROR(F17/I17-1,"n/a")</f>
        <v>1.5655284692172571</v>
      </c>
      <c r="M17" s="69">
        <f>F17+'Apr-22'!M17</f>
        <v>82178</v>
      </c>
      <c r="N17" s="69">
        <f>G17+'Apr-22'!N17</f>
        <v>0</v>
      </c>
      <c r="O17" s="69">
        <f>H17+'Apr-22'!O17</f>
        <v>1642</v>
      </c>
      <c r="P17" s="69">
        <f>I17+'Apr-22'!P17</f>
        <v>42732</v>
      </c>
      <c r="Q17" s="65" t="str">
        <f t="shared" si="9"/>
        <v>n/a</v>
      </c>
      <c r="R17" s="65">
        <f t="shared" si="10"/>
        <v>49.047503045066989</v>
      </c>
      <c r="S17" s="61">
        <f t="shared" si="11"/>
        <v>0.92310212487129073</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80</v>
      </c>
      <c r="G19" s="69">
        <v>0</v>
      </c>
      <c r="H19" s="69">
        <v>0</v>
      </c>
      <c r="I19" s="69">
        <v>82</v>
      </c>
      <c r="J19" s="65" t="str">
        <f t="shared" si="0"/>
        <v>n/a</v>
      </c>
      <c r="K19" s="65" t="str">
        <f t="shared" ref="K19:K20" si="13">IFERROR(F19/H19-1,"n/a")</f>
        <v>n/a</v>
      </c>
      <c r="L19" s="61">
        <f t="shared" si="12"/>
        <v>-2.4390243902439046E-2</v>
      </c>
      <c r="M19" s="69">
        <f>F19+'Apr-22'!M19</f>
        <v>524</v>
      </c>
      <c r="N19" s="69">
        <f>G19+'Apr-22'!N19</f>
        <v>0</v>
      </c>
      <c r="O19" s="69">
        <f>H19+'Apr-22'!O19</f>
        <v>406</v>
      </c>
      <c r="P19" s="69">
        <f>I19+'Apr-22'!P19</f>
        <v>500</v>
      </c>
      <c r="Q19" s="65" t="str">
        <f t="shared" ref="Q19:Q20" si="14">IFERROR(M19/N19-1,"n/a")</f>
        <v>n/a</v>
      </c>
      <c r="R19" s="65">
        <f t="shared" ref="R19:R20" si="15">IFERROR(M19/O19-1,"n/a")</f>
        <v>0.29064039408866993</v>
      </c>
      <c r="S19" s="61">
        <f t="shared" ref="S19:S20" si="16">IFERROR(M19/P19-1,"n/a")</f>
        <v>4.8000000000000043E-2</v>
      </c>
      <c r="T19" s="69">
        <v>411</v>
      </c>
      <c r="U19" s="71">
        <v>406</v>
      </c>
      <c r="V19" s="71">
        <v>1205</v>
      </c>
    </row>
    <row r="20" spans="1:38">
      <c r="A20" s="10"/>
      <c r="B20" s="13"/>
      <c r="C20" s="34"/>
      <c r="D20" s="27" t="s">
        <v>11</v>
      </c>
      <c r="E20" s="33"/>
      <c r="F20" s="69">
        <v>231087</v>
      </c>
      <c r="G20" s="69">
        <v>0</v>
      </c>
      <c r="H20" s="69">
        <v>0</v>
      </c>
      <c r="I20" s="69">
        <v>287713</v>
      </c>
      <c r="J20" s="65" t="str">
        <f t="shared" si="0"/>
        <v>n/a</v>
      </c>
      <c r="K20" s="65" t="str">
        <f t="shared" si="13"/>
        <v>n/a</v>
      </c>
      <c r="L20" s="61">
        <f t="shared" si="12"/>
        <v>-0.19681418635932335</v>
      </c>
      <c r="M20" s="69">
        <f>F20+'Apr-22'!M20</f>
        <v>1101390</v>
      </c>
      <c r="N20" s="69">
        <f>G20+'Apr-22'!N20</f>
        <v>0</v>
      </c>
      <c r="O20" s="69">
        <f>H20+'Apr-22'!O20</f>
        <v>833999</v>
      </c>
      <c r="P20" s="69">
        <f>I20+'Apr-22'!P20</f>
        <v>1700807</v>
      </c>
      <c r="Q20" s="65" t="str">
        <f t="shared" si="14"/>
        <v>n/a</v>
      </c>
      <c r="R20" s="65">
        <f t="shared" si="15"/>
        <v>0.32061309426030493</v>
      </c>
      <c r="S20" s="61">
        <f t="shared" si="16"/>
        <v>-0.35243093425650296</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38</v>
      </c>
      <c r="G22" s="69">
        <v>9</v>
      </c>
      <c r="H22" s="69">
        <v>0</v>
      </c>
      <c r="I22" s="69">
        <v>44</v>
      </c>
      <c r="J22" s="65">
        <f t="shared" si="0"/>
        <v>3.2222222222222223</v>
      </c>
      <c r="K22" s="65" t="str">
        <f t="shared" ref="K22:K23" si="17">IFERROR(F22/H22-1,"n/a")</f>
        <v>n/a</v>
      </c>
      <c r="L22" s="61">
        <f t="shared" si="12"/>
        <v>-0.13636363636363635</v>
      </c>
      <c r="M22" s="69">
        <f>F22+'Apr-22'!M22</f>
        <v>83</v>
      </c>
      <c r="N22" s="69">
        <f>G22+'Apr-22'!N22</f>
        <v>23</v>
      </c>
      <c r="O22" s="69">
        <f>H22+'Apr-22'!O22</f>
        <v>9</v>
      </c>
      <c r="P22" s="69">
        <f>I22+'Apr-22'!P22</f>
        <v>93</v>
      </c>
      <c r="Q22" s="65">
        <f t="shared" ref="Q22:Q23" si="18">IFERROR(M22/N22-1,"n/a")</f>
        <v>2.6086956521739131</v>
      </c>
      <c r="R22" s="65">
        <f t="shared" ref="R22:R23" si="19">IFERROR(M22/O22-1,"n/a")</f>
        <v>8.2222222222222214</v>
      </c>
      <c r="S22" s="61">
        <f t="shared" ref="S22:S23" si="20">IFERROR(M22/P22-1,"n/a")</f>
        <v>-0.10752688172043012</v>
      </c>
      <c r="T22" s="69">
        <v>107</v>
      </c>
      <c r="U22" s="71">
        <v>32</v>
      </c>
      <c r="V22" s="71">
        <v>372</v>
      </c>
    </row>
    <row r="23" spans="1:38">
      <c r="A23" s="10"/>
      <c r="B23" s="13"/>
      <c r="C23" s="34"/>
      <c r="D23" s="27" t="s">
        <v>11</v>
      </c>
      <c r="E23" s="33"/>
      <c r="F23" s="69">
        <v>48885</v>
      </c>
      <c r="G23" s="69">
        <v>11576</v>
      </c>
      <c r="H23" s="69">
        <v>0</v>
      </c>
      <c r="I23" s="69">
        <v>102078</v>
      </c>
      <c r="J23" s="65">
        <f t="shared" si="0"/>
        <v>3.2229612992398069</v>
      </c>
      <c r="K23" s="65" t="str">
        <f t="shared" si="17"/>
        <v>n/a</v>
      </c>
      <c r="L23" s="61">
        <f t="shared" si="12"/>
        <v>-0.52110151060953391</v>
      </c>
      <c r="M23" s="69">
        <f>F23+'Apr-22'!M23</f>
        <v>106023</v>
      </c>
      <c r="N23" s="69">
        <f>G23+'Apr-22'!N23</f>
        <v>25542</v>
      </c>
      <c r="O23" s="69">
        <f>H23+'Apr-22'!O23</f>
        <v>40221</v>
      </c>
      <c r="P23" s="69">
        <f>I23+'Apr-22'!P23</f>
        <v>272179</v>
      </c>
      <c r="Q23" s="65">
        <f t="shared" si="18"/>
        <v>3.1509278834860233</v>
      </c>
      <c r="R23" s="65">
        <f t="shared" si="19"/>
        <v>1.6360110390094729</v>
      </c>
      <c r="S23" s="61">
        <f t="shared" si="20"/>
        <v>-0.61046590662762368</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62</v>
      </c>
      <c r="G25" s="69">
        <v>9</v>
      </c>
      <c r="H25" s="69">
        <v>0</v>
      </c>
      <c r="I25" s="69">
        <v>45</v>
      </c>
      <c r="J25" s="65">
        <f t="shared" si="0"/>
        <v>5.8888888888888893</v>
      </c>
      <c r="K25" s="65" t="str">
        <f t="shared" ref="K25:K28" si="21">IFERROR(F25/H25-1,"n/a")</f>
        <v>n/a</v>
      </c>
      <c r="L25" s="61">
        <f t="shared" si="12"/>
        <v>0.37777777777777777</v>
      </c>
      <c r="M25" s="69">
        <f>F25+'Apr-22'!M25</f>
        <v>129</v>
      </c>
      <c r="N25" s="69">
        <f>G25+'Apr-22'!N25</f>
        <v>14</v>
      </c>
      <c r="O25" s="69">
        <f>H25+'Apr-22'!O25</f>
        <v>1</v>
      </c>
      <c r="P25" s="69">
        <f>I25+'Apr-22'!P25</f>
        <v>80</v>
      </c>
      <c r="Q25" s="65">
        <f t="shared" ref="Q25:Q28" si="22">IFERROR(M25/N25-1,"n/a")</f>
        <v>8.2142857142857135</v>
      </c>
      <c r="R25" s="65">
        <f t="shared" ref="R25:R28" si="23">IFERROR(M25/O25-1,"n/a")</f>
        <v>128</v>
      </c>
      <c r="S25" s="61">
        <f t="shared" ref="S25:S28" si="24">IFERROR(M25/P25-1,"n/a")</f>
        <v>0.61250000000000004</v>
      </c>
      <c r="T25" s="69">
        <v>124</v>
      </c>
      <c r="U25" s="71">
        <v>37</v>
      </c>
      <c r="V25" s="71">
        <f>282+81</f>
        <v>363</v>
      </c>
    </row>
    <row r="26" spans="1:38">
      <c r="A26" s="10"/>
      <c r="B26" s="13"/>
      <c r="C26" s="34"/>
      <c r="D26" s="27" t="s">
        <v>11</v>
      </c>
      <c r="E26" s="33"/>
      <c r="F26" s="69">
        <v>67145</v>
      </c>
      <c r="G26" s="69">
        <v>12905</v>
      </c>
      <c r="H26" s="69">
        <v>0</v>
      </c>
      <c r="I26" s="69">
        <v>112132</v>
      </c>
      <c r="J26" s="65">
        <f t="shared" si="0"/>
        <v>4.2030220844633863</v>
      </c>
      <c r="K26" s="65" t="str">
        <f t="shared" si="21"/>
        <v>n/a</v>
      </c>
      <c r="L26" s="61">
        <f t="shared" si="12"/>
        <v>-0.40119680376698885</v>
      </c>
      <c r="M26" s="69">
        <f>F26+'Apr-22'!M26</f>
        <v>122402</v>
      </c>
      <c r="N26" s="69">
        <f>G26+'Apr-22'!N26</f>
        <v>15044</v>
      </c>
      <c r="O26" s="69">
        <f>H26+'Apr-22'!O26</f>
        <v>892</v>
      </c>
      <c r="P26" s="69">
        <f>I26+'Apr-22'!P26</f>
        <v>194615</v>
      </c>
      <c r="Q26" s="65">
        <f t="shared" si="22"/>
        <v>7.1362669502791807</v>
      </c>
      <c r="R26" s="65">
        <f t="shared" si="23"/>
        <v>136.22197309417041</v>
      </c>
      <c r="S26" s="61">
        <f t="shared" si="24"/>
        <v>-0.37105567402307116</v>
      </c>
      <c r="T26" s="69">
        <v>165083</v>
      </c>
      <c r="U26" s="71">
        <f>20768+8294</f>
        <v>29062</v>
      </c>
      <c r="V26" s="71">
        <f>659951+168729+38484</f>
        <v>867164</v>
      </c>
    </row>
    <row r="27" spans="1:38" ht="15.75" thickBot="1">
      <c r="A27" s="10"/>
      <c r="B27" s="13"/>
      <c r="C27" s="36" t="s">
        <v>12</v>
      </c>
      <c r="D27" s="37"/>
      <c r="E27" s="38"/>
      <c r="F27" s="47">
        <f t="shared" ref="F27:I28" si="25">F10+F13+F16+F19+F22+F25</f>
        <v>354</v>
      </c>
      <c r="G27" s="47">
        <f t="shared" si="25"/>
        <v>18</v>
      </c>
      <c r="H27" s="47">
        <f t="shared" si="25"/>
        <v>0</v>
      </c>
      <c r="I27" s="47">
        <f t="shared" si="25"/>
        <v>315</v>
      </c>
      <c r="J27" s="67">
        <f t="shared" si="0"/>
        <v>18.666666666666668</v>
      </c>
      <c r="K27" s="67" t="str">
        <f t="shared" si="21"/>
        <v>n/a</v>
      </c>
      <c r="L27" s="63">
        <f t="shared" si="12"/>
        <v>0.12380952380952381</v>
      </c>
      <c r="M27" s="47">
        <f t="shared" ref="M27:P28" si="26">M10+M13+M16+M19+M22+M25</f>
        <v>1317</v>
      </c>
      <c r="N27" s="47">
        <f t="shared" si="26"/>
        <v>37</v>
      </c>
      <c r="O27" s="47">
        <f t="shared" si="26"/>
        <v>607</v>
      </c>
      <c r="P27" s="47">
        <f t="shared" si="26"/>
        <v>1242</v>
      </c>
      <c r="Q27" s="67">
        <f t="shared" si="22"/>
        <v>34.594594594594597</v>
      </c>
      <c r="R27" s="67">
        <f t="shared" si="23"/>
        <v>1.1696869851729819</v>
      </c>
      <c r="S27" s="63">
        <f t="shared" si="24"/>
        <v>6.0386473429951737E-2</v>
      </c>
      <c r="T27" s="47">
        <f t="shared" ref="T27:V28" si="27">T10+T13+T16+T19+T22+T25</f>
        <v>1059</v>
      </c>
      <c r="U27" s="47">
        <f t="shared" si="27"/>
        <v>667</v>
      </c>
      <c r="V27" s="47">
        <f t="shared" si="27"/>
        <v>3344</v>
      </c>
    </row>
    <row r="28" spans="1:38" s="23" customFormat="1" ht="16.5" thickTop="1" thickBot="1">
      <c r="A28" s="10"/>
      <c r="B28" s="13"/>
      <c r="C28" s="39" t="s">
        <v>13</v>
      </c>
      <c r="D28" s="40"/>
      <c r="E28" s="41"/>
      <c r="F28" s="48">
        <f t="shared" si="25"/>
        <v>578898</v>
      </c>
      <c r="G28" s="48">
        <f t="shared" si="25"/>
        <v>24481</v>
      </c>
      <c r="H28" s="48">
        <f t="shared" si="25"/>
        <v>0</v>
      </c>
      <c r="I28" s="48">
        <f t="shared" si="25"/>
        <v>841049</v>
      </c>
      <c r="J28" s="68">
        <f t="shared" si="0"/>
        <v>22.646828152444755</v>
      </c>
      <c r="K28" s="68" t="str">
        <f t="shared" si="21"/>
        <v>n/a</v>
      </c>
      <c r="L28" s="64">
        <f t="shared" si="12"/>
        <v>-0.31169527578060252</v>
      </c>
      <c r="M28" s="48">
        <f t="shared" si="26"/>
        <v>1954381</v>
      </c>
      <c r="N28" s="48">
        <f t="shared" si="26"/>
        <v>40586</v>
      </c>
      <c r="O28" s="48">
        <f t="shared" si="26"/>
        <v>1276191</v>
      </c>
      <c r="P28" s="48">
        <f t="shared" si="26"/>
        <v>3422813</v>
      </c>
      <c r="Q28" s="68">
        <f t="shared" si="22"/>
        <v>47.154067905188981</v>
      </c>
      <c r="R28" s="68">
        <f t="shared" si="23"/>
        <v>0.53141731919438384</v>
      </c>
      <c r="S28" s="64">
        <f t="shared" si="24"/>
        <v>-0.42901321223216105</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elge" ma:contentTypeID="0x01010017276D29DB962A468969A75880A1EE72" ma:contentTypeVersion="4" ma:contentTypeDescription="Yeni belge oluşturun." ma:contentTypeScope="" ma:versionID="d46e30db345c5450787b943173ccc272">
  <xsd:schema xmlns:xsd="http://www.w3.org/2001/XMLSchema" xmlns:xs="http://www.w3.org/2001/XMLSchema" xmlns:p="http://schemas.microsoft.com/office/2006/metadata/properties" xmlns:ns2="fc8cafd1-1278-495b-92b5-b23883665932" xmlns:ns3="2742460e-7147-4926-b74e-f0e2370dc042" targetNamespace="http://schemas.microsoft.com/office/2006/metadata/properties" ma:root="true" ma:fieldsID="4993aaa823352b57c06189ea670615bf" ns2:_="" ns3:_="">
    <xsd:import namespace="fc8cafd1-1278-495b-92b5-b23883665932"/>
    <xsd:import namespace="2742460e-7147-4926-b74e-f0e2370dc0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8cafd1-1278-495b-92b5-b238836659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42460e-7147-4926-b74e-f0e2370dc04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5DF089D6-3FCC-485B-A415-7F13E28C90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8cafd1-1278-495b-92b5-b23883665932"/>
    <ds:schemaRef ds:uri="2742460e-7147-4926-b74e-f0e2370dc0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6FC12F-4478-42E3-9A48-BDD9224AE15B}">
  <ds:schemaRefs>
    <ds:schemaRef ds:uri="http://schemas.microsoft.com/office/2006/documentManagement/types"/>
    <ds:schemaRef ds:uri="http://www.w3.org/XML/1998/namespace"/>
    <ds:schemaRef ds:uri="http://schemas.microsoft.com/office/2006/metadata/properties"/>
    <ds:schemaRef ds:uri="http://purl.org/dc/terms/"/>
    <ds:schemaRef ds:uri="http://purl.org/dc/elements/1.1/"/>
    <ds:schemaRef ds:uri="http://purl.org/dc/dcmitype/"/>
    <ds:schemaRef ds:uri="2742460e-7147-4926-b74e-f0e2370dc042"/>
    <ds:schemaRef ds:uri="http://schemas.microsoft.com/office/infopath/2007/PartnerControls"/>
    <ds:schemaRef ds:uri="http://schemas.openxmlformats.org/package/2006/metadata/core-properties"/>
    <ds:schemaRef ds:uri="fc8cafd1-1278-495b-92b5-b2388366593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3</vt:i4>
      </vt:variant>
    </vt:vector>
  </HeadingPairs>
  <TitlesOfParts>
    <vt:vector size="20" baseType="lpstr">
      <vt:lpstr> </vt:lpstr>
      <vt:lpstr>Disclaimer</vt:lpstr>
      <vt:lpstr>Notes</vt:lpstr>
      <vt:lpstr>Occupancy_2022</vt:lpstr>
      <vt:lpstr>Traffic&gt;</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Hewlett-Packard Company</cp:lastModifiedBy>
  <cp:lastPrinted>2022-08-04T14:43:41Z</cp:lastPrinted>
  <dcterms:created xsi:type="dcterms:W3CDTF">2021-12-10T09:13:50Z</dcterms:created>
  <dcterms:modified xsi:type="dcterms:W3CDTF">2022-09-15T08:46:37Z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0x01010017276D29DB962A468969A75880A1EE72</vt:lpwstr>
  </property>
  <property fmtid="{D5CDD505-2E9C-101B-9397-08002B2CF9AE}" pid="5" name="MediaServiceImageTags">
    <vt:lpwstr/>
  </property>
</Properties>
</file>